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drawings/vmlDrawing1.vml" ContentType="application/vnd.openxmlformats-officedocument.vmlDrawing"/>
  <Override PartName="/xl/drawings/drawing1.xml" ContentType="application/vnd.openxmlformats-officedocument.drawing+xml"/>
  <Override PartName="/xl/drawings/drawing21.xml" ContentType="application/vnd.openxmlformats-officedocument.drawing+xml"/>
  <Override PartName="/xl/drawings/vmlDrawing2.vml" ContentType="application/vnd.openxmlformats-officedocument.vmlDrawing"/>
  <Override PartName="/xl/drawings/vmlDrawing3.vml" ContentType="application/vnd.openxmlformats-officedocument.vmlDrawing"/>
  <Override PartName="/xl/drawings/drawing2.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vmlDrawing4.vml" ContentType="application/vnd.openxmlformats-officedocument.vmlDrawing"/>
  <Override PartName="/xl/drawings/vmlDrawing5.vml" ContentType="application/vnd.openxmlformats-officedocument.vmlDrawing"/>
  <Override PartName="/xl/drawings/drawing13.xml" ContentType="application/vnd.openxmlformats-officedocument.drawing+xml"/>
  <Override PartName="/xl/drawings/vmlDrawing6.vml" ContentType="application/vnd.openxmlformats-officedocument.vmlDrawing"/>
  <Override PartName="/xl/drawings/drawing14.xml" ContentType="application/vnd.openxmlformats-officedocument.drawing+xml"/>
  <Override PartName="/xl/drawings/vmlDrawing7.vml" ContentType="application/vnd.openxmlformats-officedocument.vmlDrawing"/>
  <Override PartName="/xl/drawings/drawing15.xml" ContentType="application/vnd.openxmlformats-officedocument.drawing+xml"/>
  <Override PartName="/xl/drawings/vmlDrawing8.vml" ContentType="application/vnd.openxmlformats-officedocument.vmlDrawing"/>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2.xml" ContentType="application/vnd.openxmlformats-officedocument.drawing+xml"/>
  <Override PartName="/xl/styles.xml" ContentType="application/vnd.openxmlformats-officedocument.spreadsheetml.styles+xml"/>
  <Override PartName="/xl/comments13.xml" ContentType="application/vnd.openxmlformats-officedocument.spreadsheetml.comment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Override PartName="/xl/comments5.xml" ContentType="application/vnd.openxmlformats-officedocument.spreadsheetml.comments+xml"/>
  <Override PartName="/xl/theme/theme1.xml" ContentType="application/vnd.openxmlformats-officedocument.theme+xml"/>
  <Override PartName="/xl/comments3.xml" ContentType="application/vnd.openxmlformats-officedocument.spreadsheetml.comments+xml"/>
  <Override PartName="/xl/media/image1.emf" ContentType="image/x-emf"/>
  <Override PartName="/xl/media/image2.emf" ContentType="image/x-emf"/>
  <Override PartName="/xl/sharedStrings.xml" ContentType="application/vnd.openxmlformats-officedocument.spreadsheetml.sharedStrings+xml"/>
  <Override PartName="/xl/ctrlProps/ctrlProps20.xml" ContentType="application/vnd.ms-excel.controlproperties+xml"/>
  <Override PartName="/xl/ctrlProps/ctrlProps12.xml" ContentType="application/vnd.ms-excel.controlproperties+xml"/>
  <Override PartName="/xl/ctrlProps/ctrlProps3.xml" ContentType="application/vnd.ms-excel.controlproperties+xml"/>
  <Override PartName="/xl/ctrlProps/ctrlProps4.xml" ContentType="application/vnd.ms-excel.controlproperties+xml"/>
  <Override PartName="/xl/ctrlProps/ctrlProps11.xml" ContentType="application/vnd.ms-excel.controlproperties+xml"/>
  <Override PartName="/xl/ctrlProps/ctrlProps8.xml" ContentType="application/vnd.ms-excel.controlproperties+xml"/>
  <Override PartName="/xl/ctrlProps/ctrlProps10.xml" ContentType="application/vnd.ms-excel.controlproperties+xml"/>
  <Override PartName="/xl/ctrlProps/ctrlProps9.xml" ContentType="application/vnd.ms-excel.controlproperties+xml"/>
  <Override PartName="/xl/comments4.xml" ContentType="application/vnd.openxmlformats-officedocument.spreadsheetml.comments+xml"/>
  <Override PartName="/xl/comments6.xml" ContentType="application/vnd.openxmlformats-officedocument.spreadsheetml.comments+xml"/>
  <Override PartName="/xl/comments10.xml" ContentType="application/vnd.openxmlformats-officedocument.spreadsheetml.comments+xml"/>
  <Override PartName="/xl/comments12.xml" ContentType="application/vnd.openxmlformats-officedocument.spreadsheetml.comment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microsoft.com/office/2011/relationships/webextensiontaskpanes" Target="xl/webextensions/taskpanes.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6"/>
  </bookViews>
  <sheets>
    <sheet name="NOVO" sheetId="1" state="visible" r:id="rId3"/>
    <sheet name="MENU" sheetId="2" state="visible" r:id="rId4"/>
    <sheet name="DADOS" sheetId="3" state="visible" r:id="rId5"/>
    <sheet name="BDI" sheetId="4" state="visible" r:id="rId6"/>
    <sheet name="ORÇAMENTO" sheetId="5" state="visible" r:id="rId7"/>
    <sheet name="EVENTOS" sheetId="6" state="hidden" r:id="rId8"/>
    <sheet name="CÁLCULO" sheetId="7" state="visible" r:id="rId9"/>
    <sheet name="CRONOPLE" sheetId="8" state="hidden" r:id="rId10"/>
    <sheet name="CRONO" sheetId="9" state="visible" r:id="rId11"/>
    <sheet name="QCI" sheetId="10" state="visible" r:id="rId12"/>
    <sheet name="PLE" sheetId="11" state="hidden" r:id="rId13"/>
    <sheet name="BM" sheetId="12" state="hidden" r:id="rId14"/>
    <sheet name="RRE" sheetId="13" state="hidden" r:id="rId15"/>
    <sheet name="OFÍCIO" sheetId="14" state="hidden" r:id="rId16"/>
    <sheet name="PO-PLE" sheetId="15" state="hidden" r:id="rId17"/>
    <sheet name="CFF-PLE" sheetId="16" state="hidden" r:id="rId18"/>
    <sheet name="PO-BM" sheetId="17" state="hidden" r:id="rId19"/>
    <sheet name="CFF-BM" sheetId="18" state="hidden" r:id="rId20"/>
  </sheets>
  <definedNames>
    <definedName function="false" hidden="false" localSheetId="3" name="_xlnm.Print_Area" vbProcedure="false">BDI!$J$1:$S$132</definedName>
    <definedName function="false" hidden="false" localSheetId="3" name="_xlnm.Print_Titles" vbProcedure="false">BDI!$1:$13</definedName>
    <definedName function="false" hidden="true" localSheetId="3" name="_xlnm._FilterDatabase" vbProcedure="false">BDI!$I$11:$I$132</definedName>
    <definedName function="false" hidden="false" localSheetId="11" name="_xlnm.Print_Area" vbProcedure="false">BM!$D$1:$O$74</definedName>
    <definedName function="false" hidden="false" localSheetId="11" name="_xlnm.Print_Titles" vbProcedure="false">BM!$1:$15</definedName>
    <definedName function="false" hidden="true" localSheetId="11" name="_xlnm._FilterDatabase" vbProcedure="false">BM!$C$15:$C$59</definedName>
    <definedName function="false" hidden="false" localSheetId="6" name="_xlnm.Print_Area" vbProcedure="false">CÁLCULO!$E$6:$I$59</definedName>
    <definedName function="false" hidden="false" localSheetId="6" name="_xlnm.Print_Titles" vbProcedure="false">CÁLCULO!$E:$H,CÁLCULO!$6:$15</definedName>
    <definedName function="false" hidden="true" localSheetId="6" name="_xlnm._FilterDatabase" vbProcedure="false">CÁLCULO!$C$15:$C$59</definedName>
    <definedName function="false" hidden="false" localSheetId="8" name="_xlnm.Print_Area" vbProcedure="false">CRONO!$I$1:$AG$67</definedName>
    <definedName function="false" hidden="false" localSheetId="8" name="_xlnm.Print_Titles" vbProcedure="false">CRONO!$I:$T,CRONO!$1:$13</definedName>
    <definedName function="false" hidden="true" localSheetId="8" name="_xlnm._FilterDatabase" vbProcedure="false">CRONO!$G$13:$G$67</definedName>
    <definedName function="false" hidden="true" localSheetId="7" name="_xlnm._FilterDatabase" vbProcedure="false">CRONOPLE!$A$13:$A$79</definedName>
    <definedName function="false" hidden="false" localSheetId="5" name="_xlnm.Print_Area" vbProcedure="false">EVENTOS!$C$2:$Z$72</definedName>
    <definedName function="false" hidden="true" localSheetId="5" name="_xlnm._FilterDatabase" vbProcedure="false">EVENTOS!$A$13:$A$72</definedName>
    <definedName function="false" hidden="false" localSheetId="1" name="_xlnm.Print_Area" vbProcedure="false">MENU!$A$1:$I$25</definedName>
    <definedName function="false" hidden="false" localSheetId="13" name="_xlnm.Print_Area" vbProcedure="false">OFÍCIO!$A$1:$G$56</definedName>
    <definedName function="false" hidden="false" localSheetId="4" name="_xlnm.Print_Area" vbProcedure="false">ORÇAMENTO!$O$1:$X$76</definedName>
    <definedName function="false" hidden="false" localSheetId="4" name="_xlnm.Print_Titles" vbProcedure="false">ORÇAMENTO!$1:$15</definedName>
    <definedName function="false" hidden="true" localSheetId="4" name="_xlnm._FilterDatabase" vbProcedure="false">ORÇAMENTO!$L$15:$L$59</definedName>
    <definedName function="false" hidden="false" localSheetId="10" name="_xlnm.Print_Area" vbProcedure="false">PLE!$B$3:$AG$82</definedName>
    <definedName function="false" hidden="false" localSheetId="10" name="_xlnm.Print_Titles" vbProcedure="false">PLE!$B:$E,PLE!$1:$13</definedName>
    <definedName function="false" hidden="true" localSheetId="10" name="_xlnm._FilterDatabase" vbProcedure="false">PLE!$A$13:$A$81</definedName>
    <definedName function="false" hidden="false" localSheetId="9" name="_xlnm.Print_Area" vbProcedure="false">QCI!$D$1:$O$37</definedName>
    <definedName function="false" hidden="false" localSheetId="9" name="_xlnm.Print_Titles" vbProcedure="false">QCI!$1:$13</definedName>
    <definedName function="false" hidden="true" localSheetId="9" name="_xlnm._FilterDatabase" vbProcedure="false">QCI!$C$13:$C$25</definedName>
    <definedName function="false" hidden="false" localSheetId="12" name="_xlnm.Print_Area" vbProcedure="false">RRE!$E$1:$P$49</definedName>
    <definedName function="false" hidden="false" localSheetId="12" name="_xlnm.Print_Titles" vbProcedure="false">RRE!$1:$13</definedName>
    <definedName function="false" hidden="true" localSheetId="12" name="_xlnm._FilterDatabase" vbProcedure="false">RRE!$D$13:$D$30</definedName>
    <definedName function="false" hidden="true" name="ACOMPANHAMENTO" vbProcedure="false">MENU!$J$4</definedName>
    <definedName function="false" hidden="true" name="AdmLocal" vbProcedure="false">CÁLCULO!$A$11</definedName>
    <definedName function="false" hidden="true" name="AUTOEVENTO" vbProcedure="false">CÁLCULO!$A$12</definedName>
    <definedName function="false" hidden="true" name="BDI.ColAux" vbProcedure="false">BDI!$A:$G</definedName>
    <definedName function="false" hidden="true" name="BDI.Erro" vbProcedure="false">BDI!$U$7</definedName>
    <definedName function="false" hidden="true" name="BDI.Filtro" vbProcedure="false">BDI!$I$11:$I$132</definedName>
    <definedName function="false" hidden="true" name="BDI.Opcao" vbProcedure="false">DADOS!$C$18</definedName>
    <definedName function="false" hidden="true" name="BDI.TipoObra" vbProcedure="false">BDI!$A$138:$A$146</definedName>
    <definedName function="false" hidden="true" name="BDI_1.Título" vbProcedure="false">BDI!$J$14</definedName>
    <definedName function="false" hidden="true" name="BDI_2.Título" vbProcedure="false">BDI!$J$54</definedName>
    <definedName function="false" hidden="true" name="BDI_3.Título" vbProcedure="false">BDI!$J$94</definedName>
    <definedName function="false" hidden="true" name="BM.AFAcumulado" vbProcedure="false">BM!$R1</definedName>
    <definedName function="false" hidden="true" name="BM.AFAnterior" vbProcedure="false">BM!$Q1</definedName>
    <definedName function="false" hidden="true" name="BM.CaixaColunas" vbProcedure="false">BM!$Q:$AA</definedName>
    <definedName function="false" hidden="true" name="BM.Erro" vbProcedure="false">BM!$F$10</definedName>
    <definedName function="false" hidden="true" name="BM.Filtro" vbProcedure="false">BM!$C$15:$C$59</definedName>
    <definedName function="false" hidden="true" name="BM.firstrow" vbProcedure="false">BM!$15:$15</definedName>
    <definedName function="false" hidden="true" name="BM.FormulaMed" vbProcedure="false">BM!$AO$7</definedName>
    <definedName function="false" hidden="true" name="BM.lastrow" vbProcedure="false">BM!$59:$59</definedName>
    <definedName function="false" hidden="true" name="BM.LinhaPadrão" vbProcedure="false">BM!$14:$14</definedName>
    <definedName function="false" hidden="true" name="BM.MaxMed" vbProcedure="false">IF(RegimeExecucao="Global",1,BM!$G1)</definedName>
    <definedName function="false" hidden="true" name="RegimeExecucao" vbProcedure="false">IF(OR(Import.RegimeExecução="",Import.RegimeExecução="Empreitada por Preço Global",Import.RegimeExecução="Empreitada Integral"),"Global","Unitário")</definedName>
    <definedName function="false" hidden="true" name="Import.RegimeExecução" vbProcedure="false">OFFSET(DADOS!$D$40,0,-1)</definedName>
    <definedName function="false" hidden="true" name="BM.MCAIXA.Filter" vbProcedure="false">BM!$C$15:$Z$59</definedName>
    <definedName function="false" hidden="true" name="BM.MEDAcumulado" vbProcedure="false">IF(COUNTIF(BM!$AB$13:$AM$13,BM.medicao)&gt;0,SUM(OFFSET(BM!$AB1,0,0,1,MATCH(BM.medicao,BM!$AB$13:$AM$13,0))),0)</definedName>
    <definedName function="false" hidden="true" name="BM.medicao" vbProcedure="false">OFFSET(BM!$O$7,1,0)</definedName>
    <definedName function="false" hidden="true" name="BM.MEDAnterior" vbProcedure="false">IF(COUNTIF(BM!$AB$13:$AM$13,BM.medicao-1)&gt;0,SUM(OFFSET(BM!$AB1,0,0,1,MATCH(BM.medicao-1,BM!$AB$13:$AM$13,0))),0)</definedName>
    <definedName function="false" hidden="true" name="BM.MinMed" vbProcedure="false">IF(RegimeExecucao="Global",-1,-BM!$G1)</definedName>
    <definedName function="false" hidden="true" name="BM.TomadorColunas" vbProcedure="false">BM!$AB:$AN</definedName>
    <definedName function="false" hidden="true" name="BM.Título" vbProcedure="false">BM!$E$1</definedName>
    <definedName function="false" hidden="true" name="Brasao" vbProcedure="false">OFÍCIO!$B$1</definedName>
    <definedName function="false" hidden="true" name="CAIXA.Modo" vbProcedure="false">BM!$A$3</definedName>
    <definedName function="false" hidden="true" name="CRONO.ColAux" vbProcedure="false">CRONO!$M:$R</definedName>
    <definedName function="false" hidden="true" name="CRONO.ColunaPadrão" vbProcedure="false">CRONO!$E:$E</definedName>
    <definedName function="false" hidden="true" name="CRONO.Erro" vbProcedure="false">CRONO!$K$10</definedName>
    <definedName function="false" hidden="true" name="CRONO.Filtro" vbProcedure="false">CRONO!$G$13:$G$67</definedName>
    <definedName function="false" hidden="true" name="CRONO.FirstCol" vbProcedure="false">CRONO!$T:$T</definedName>
    <definedName function="false" hidden="true" name="CRONO.firstrow" vbProcedure="false">CRONO!$13:$13</definedName>
    <definedName function="false" hidden="true" name="CRONO.Frenterow" vbProcedure="false">CRONO!$12:$12</definedName>
    <definedName function="false" hidden="true" name="CRONO.LastCol" vbProcedure="false">CRONO!$AG:$AG</definedName>
    <definedName function="false" hidden="true" name="CRONO.lastrow" vbProcedure="false">CRONO!$50:$50</definedName>
    <definedName function="false" hidden="true" name="CRONO.lastrow2" vbProcedure="false">CRONO!$62:$62</definedName>
    <definedName function="false" hidden="true" name="CRONO.LinhaPadrão" vbProcedure="false">CRONO!$1:$3</definedName>
    <definedName function="false" hidden="true" name="CRONO.LinhasNecessarias" vbProcedure="false">COUNTIF(QCI!$B$13:$B$24,"Manual")+COUNTIF(QCI!$B$13:$B$24,"SemiAuto")+COUNT(ORÇAMENTO.ListaCrono)</definedName>
    <definedName function="false" hidden="true" name="ORÇAMENTO.ListaCrono" vbProcedure="false">OFFSET(ORÇAMENTO!$AD$15,1,0):OFFSET(ORÇAMENTO!$AD$59,-1,0)</definedName>
    <definedName function="false" hidden="true" name="CRONO.Lista.AdmLocal" vbProcedure="false">CRONO!$A$13:$A$50</definedName>
    <definedName function="false" hidden="true" name="CRONO.Lista.Níveis" vbProcedure="false">CRONO!$A$9:$A$11</definedName>
    <definedName function="false" hidden="true" name="CRONO.margemrow" vbProcedure="false">CRONO!$67:$67</definedName>
    <definedName function="false" hidden="true" name="CRONO.MaxParc" vbProcedure="false">CRONO!$H1048576+CRONO!A1</definedName>
    <definedName function="false" hidden="true" name="CRONO.NivelExibicao" vbProcedure="false">CRONO!$H$10</definedName>
    <definedName function="false" hidden="true" name="CRONO.Parcela1" vbProcedure="false">CRONO!$U$12:$U$13</definedName>
    <definedName function="false" hidden="true" name="CRONO.ParcelaFinal" vbProcedure="false">MATCH(100%,CRONO!$U$56:$AG$56,0)</definedName>
    <definedName function="false" hidden="true" name="CRONO.Título" vbProcedure="false">CRONO!$S$4</definedName>
    <definedName function="false" hidden="true" name="CRONOPLE.ColunaPadrão" vbProcedure="false">CRONOPLE!$E:$E</definedName>
    <definedName function="false" hidden="true" name="CRONOPLE.Erro" vbProcedure="false">CRONOPLE!$B$6</definedName>
    <definedName function="false" hidden="true" name="CRONOPLE.Filtro" vbProcedure="false">CRONOPLE!$A$13:$A$79</definedName>
    <definedName function="false" hidden="true" name="CRONOPLE.FirstCol" vbProcedure="false">CRONOPLE!$F:$F</definedName>
    <definedName function="false" hidden="true" name="CRONOPLE.firstrow" vbProcedure="false">CRONOPLE!$15:$15</definedName>
    <definedName function="false" hidden="true" name="CRONOPLE.Frenterow" vbProcedure="false">CRONOPLE!$11:$11</definedName>
    <definedName function="false" hidden="true" name="CRONOPLE.LastCol" vbProcedure="false">CRONOPLE!$AF:$AF</definedName>
    <definedName function="false" hidden="true" name="CRONOPLE.lastrow" vbProcedure="false">CRONOPLE!$65:$65</definedName>
    <definedName function="false" hidden="true" name="CRONOPLE.lastrow2" vbProcedure="false">CRONOPLE!$74:$74</definedName>
    <definedName function="false" hidden="true" name="CRONOPLE.LinhaPadrão" vbProcedure="false">CRONOPLE!$1:$1</definedName>
    <definedName function="false" hidden="true" name="CRONOPLE.Lista.AdmLocal" vbProcedure="false">CRONOPLE!$F$15:$F$65</definedName>
    <definedName function="false" hidden="true" name="CRONOPLE.margemrow" vbProcedure="false">CRONOPLE!$81:$81</definedName>
    <definedName function="false" hidden="true" name="CRONOPLE.Título" vbProcedure="false">CRONOPLE!$G$2</definedName>
    <definedName function="false" hidden="true" name="CRONOPLE.ValorDoEvento" vbProcedure="false">SUMIF(CÁLCULO!$M$15:$M$59,CRONOPLE!$B1,OFFSET(CÁLCULO!$AA$15:$AA$59,0,CRONOPLE!A$12))</definedName>
    <definedName function="false" hidden="true" name="CÁLCULO.AgrupEventos" vbProcedure="false">CÁLCULO!$K1</definedName>
    <definedName function="false" hidden="true" name="CÁLCULO.ColunaPadrão" vbProcedure="false">CÁLCULO!$O:$O</definedName>
    <definedName function="false" hidden="true" name="CÁLCULO.Erro" vbProcedure="false">CÁLCULO!$F$11</definedName>
    <definedName function="false" hidden="true" name="CÁLCULO.Filtro" vbProcedure="false">CÁLCULO!$C$15:$C$59</definedName>
    <definedName function="false" hidden="true" name="CÁLCULO.firstcol" vbProcedure="false">CÁLCULO!$P:$P</definedName>
    <definedName function="false" hidden="true" name="CÁLCULO.firstrow" vbProcedure="false">CÁLCULO!$15:$15</definedName>
    <definedName function="false" hidden="true" name="CÁLCULO.Frenterow" vbProcedure="false">CÁLCULO!$12:$12</definedName>
    <definedName function="false" hidden="true" name="CÁLCULO.FrentesPreenchidas" vbProcedure="false">CÁLCULO!$M$1</definedName>
    <definedName function="false" hidden="true" name="CÁLCULO.lastcol" vbProcedure="false">CÁLCULO!$AA:$AA</definedName>
    <definedName function="false" hidden="true" name="CÁLCULO.lastrow" vbProcedure="false">CÁLCULO!$59:$59</definedName>
    <definedName function="false" hidden="true" name="CÁLCULO.LinhaPadrão" vbProcedure="false">CÁLCULO!$14:$14</definedName>
    <definedName function="false" hidden="true" name="CÁLCULO.margemrow" vbProcedure="false">CÁLCULO!$67:$67</definedName>
    <definedName function="false" hidden="true" name="CÁLCULO.MATRIZ1.ColunaPadrão" vbProcedure="false">CÁLCULO!$AC:$AC</definedName>
    <definedName function="false" hidden="true" name="CÁLCULO.MATRIZ1.firstcol" vbProcedure="false">CÁLCULO!$AA:$AA</definedName>
    <definedName function="false" hidden="true" name="CÁLCULO.MATRIZ1.lastcol" vbProcedure="false">CÁLCULO!$AL:$AL</definedName>
    <definedName function="false" hidden="true" name="CÁLCULO.MATRIZ1.lastrow" vbProcedure="false">CÁLCULO!$59:$59</definedName>
    <definedName function="false" hidden="true" name="CÁLCULO.MATRIZ2.ColunaPadrão" vbProcedure="false">CÁLCULO!$AN:$AN</definedName>
    <definedName function="false" hidden="true" name="CÁLCULO.MATRIZ2.firstcol" vbProcedure="false">CÁLCULO!$AL:$AL</definedName>
    <definedName function="false" hidden="true" name="CÁLCULO.MATRIZ2.lastcol" vbProcedure="false">CÁLCULO!$AW:$AW</definedName>
    <definedName function="false" hidden="true" name="CÁLCULO.MATRIZ2.lastrow" vbProcedure="false">CÁLCULO!$59:$59</definedName>
    <definedName function="false" hidden="true" name="CÁLCULO.MATRIZ3.ColunaPadrão" vbProcedure="false">CÁLCULO!$AY:$AY</definedName>
    <definedName function="false" hidden="true" name="CÁLCULO.MATRIZ3.firstcol" vbProcedure="false">CÁLCULO!$AW:$AW</definedName>
    <definedName function="false" hidden="true" name="CÁLCULO.MATRIZ3.lastcol" vbProcedure="false">CÁLCULO!$BH:$BH</definedName>
    <definedName function="false" hidden="true" name="CÁLCULO.MATRIZ3.lastrow" vbProcedure="false">CÁLCULO!$59:$59</definedName>
    <definedName function="false" hidden="true" name="CÁLCULO.nEvento" vbProcedure="false">CÁLCULO!$M$12</definedName>
    <definedName function="false" hidden="true" name="CÁLCULO.NúmeroDeEventos" vbProcedure="false">IF(AUTOEVENTO&lt;&gt;"manual",MAX(CÁLCULO!$M$15:$M$59),MAX(OFFSET(EVENTOS!$C$1:$C$65,1,0)))</definedName>
    <definedName function="false" hidden="true" name="CÁLCULO.NúmeroDeFrentes" vbProcedure="false">COLUMN(CÁLCULO!$AA$15)-COLUMN(CÁLCULO!$Q$15)</definedName>
    <definedName function="false" hidden="true" name="CÁLCULO.TotalAdmLocal" vbProcedure="false">IF(AUTOEVENTO="manual",SUMIF(CÁLCULO!$M$15:$M$59,1,ORÇAMENTO!$X$15:$X$59),0)</definedName>
    <definedName function="false" hidden="true" name="CÁLCULO.Título" vbProcedure="false">CÁLCULO!$F$6</definedName>
    <definedName function="false" hidden="true" name="DADOS.ColAux" vbProcedure="false">DADOS!$G:$AW</definedName>
    <definedName function="false" hidden="true" name="DADOS.Erro" vbProcedure="false">DADOS!$D$1</definedName>
    <definedName function="false" hidden="true" name="DADOS.Lista.Arredondamento" vbProcedure="false">DADOS!$J$2:$J$3</definedName>
    <definedName function="false" hidden="true" name="DADOS.Lista.FonteRecursos" vbProcedure="false">DADOS!$G$2:$G$4</definedName>
    <definedName function="false" hidden="true" name="DADOS.Lista.RegimeExecução" vbProcedure="false">DADOS!$I$2:$I$9</definedName>
    <definedName function="false" hidden="true" name="DADOS.Lista.RegimePreviden" vbProcedure="false">DADOS!$H$2:$H$5</definedName>
    <definedName function="false" hidden="true" name="DESONERACAO" vbProcedure="false">IF(OR(Import.Desoneracao="DESONERADO",Import.Desoneracao="SIM"),"SIM","NÃO")</definedName>
    <definedName function="false" hidden="true" name="Import.Desoneracao" vbProcedure="false">OFFSET(DADOS!$D$18,0,-1)</definedName>
    <definedName function="false" hidden="true" name="EVENTOS.ColunaPadrão" vbProcedure="false">EVENTOS!$E:$E</definedName>
    <definedName function="false" hidden="true" name="EVENTOS.Erro" vbProcedure="false">EVENTOS!$F$6</definedName>
    <definedName function="false" hidden="true" name="EVENTOS.Filtro" vbProcedure="false">EVENTOS!$A$13:$A$72</definedName>
    <definedName function="false" hidden="true" name="EVENTOS.firstcol" vbProcedure="false">EVENTOS!$G:$G</definedName>
    <definedName function="false" hidden="true" name="EVENTOS.firstrow" vbProcedure="false">EVENTOS!$15:$15</definedName>
    <definedName function="false" hidden="true" name="EVENTOS.FrenteRow" vbProcedure="false">EVENTOS!$10:$10</definedName>
    <definedName function="false" hidden="true" name="EVENTOS.LastCol" vbProcedure="false">EVENTOS!$Z:$Z</definedName>
    <definedName function="false" hidden="true" name="EVENTOS.lastrow" vbProcedure="false">EVENTOS!$65:$65</definedName>
    <definedName function="false" hidden="true" name="EVENTOS.LinhaPadrão" vbProcedure="false">EVENTOS!$1:$1</definedName>
    <definedName function="false" hidden="true" name="EVENTOS.Lista" vbProcedure="false">EVENTOS!$C$15:OFFSET(EVENTOS!$C$65,-1,0)</definedName>
    <definedName function="false" hidden="true" name="EVENTOS.Lista.Agrupar" vbProcedure="false">EVENTOS!$B$6:$B$9</definedName>
    <definedName function="false" hidden="true" name="EVENTOS.ListaValidacao" vbProcedure="false">EVENTOS!$B$15:OFFSET(EVENTOS!$B$65,-1,0)</definedName>
    <definedName function="false" hidden="true" name="EVENTOS.Manual.Preenchidos" vbProcedure="false">EVENTOS!$C$10</definedName>
    <definedName function="false" hidden="true" name="EVENTOS.MargemRow" vbProcedure="false">EVENTOS!$72:$72</definedName>
    <definedName function="false" hidden="true" name="EVENTOS.Título" vbProcedure="false">EVENTOS!$F$2</definedName>
    <definedName function="false" hidden="true" name="Excel_BuiltIn_Database" vbProcedure="false">TEXT(Import.DataBase,"mm-aaaa")</definedName>
    <definedName function="false" hidden="true" name="Import.DataBase" vbProcedure="false">OFFSET(DADOS!$D$19,0,-1)</definedName>
    <definedName function="false" hidden="true" name="Import.Apelido" vbProcedure="false">DADOS!$C$16</definedName>
    <definedName function="false" hidden="true" name="Import.BDI.Det1" vbProcedure="false">BDI!$S$21:$S$26</definedName>
    <definedName function="false" hidden="true" name="Import.BDI.Det2" vbProcedure="false">BDI!$S$61:$S$66</definedName>
    <definedName function="false" hidden="true" name="Import.BDI.Det3" vbProcedure="false">BDI!$S$101:$S$106</definedName>
    <definedName function="false" hidden="true" name="Import.BDI.ISS" vbProcedure="false">BDI!$R$10:$S$11</definedName>
    <definedName function="false" hidden="true" name="Import.BDI.Obs1" vbProcedure="false">BDI!$J$43</definedName>
    <definedName function="false" hidden="true" name="Import.BDI.Obs2" vbProcedure="false">BDI!$J$83</definedName>
    <definedName function="false" hidden="true" name="Import.BDI.Obs3" vbProcedure="false">BDI!$J$123</definedName>
    <definedName function="false" hidden="true" name="Import.BDI.Tipo1" vbProcedure="false">BDI!$J$17</definedName>
    <definedName function="false" hidden="true" name="Import.BDI.Tipo2" vbProcedure="false">BDI!$J$57</definedName>
    <definedName function="false" hidden="true" name="Import.BDI.Tipo3" vbProcedure="false">BDI!$J$97</definedName>
    <definedName function="false" hidden="true" name="Import.BM.Datas" vbProcedure="false">BM!$AB$12:$AM$12</definedName>
    <definedName function="false" hidden="true" name="Import.BM.Obs" vbProcedure="false">BM!$D$62</definedName>
    <definedName function="false" hidden="true" name="Import.BMAFAcumulado" vbProcedure="false">OFFSET(BM!$R$15,1,0):OFFSET(BM!$R$59,-1,0)</definedName>
    <definedName function="false" hidden="true" name="Import.BMArred" vbProcedure="false">BM!$A$9</definedName>
    <definedName function="false" hidden="true" name="Import.CNPJ" vbProcedure="false">DADOS!$C$39</definedName>
    <definedName function="false" hidden="true" name="Import.Contrapartida" vbProcedure="false">DADOS!$C$10</definedName>
    <definedName function="false" hidden="true" name="Import.CPMaxPerc" vbProcedure="false">DADOS!$C$13</definedName>
    <definedName function="false" hidden="true" name="Import.CPMinAbsoluta" vbProcedure="false">DADOS!$C$12</definedName>
    <definedName function="false" hidden="true" name="Import.CPMinPerc" vbProcedure="false">DADOS!$C$11</definedName>
    <definedName function="false" hidden="true" name="Import.CR" vbProcedure="false">DADOS!$C$7</definedName>
    <definedName function="false" hidden="true" name="Import.CRONOPLE" vbProcedure="false">OFFSET(CRONOPLE!$F$15,1,1):OFFSET(CRONOPLE!$AF$65,-1,-1)</definedName>
    <definedName function="false" hidden="true" name="Import.CTEF" vbProcedure="false">DADOS!$C$37</definedName>
    <definedName function="false" hidden="true" name="Import.CustoUnitário" vbProcedure="false">OFFSET(ORÇAMENTO!$U$15,1,0):OFFSET(ORÇAMENTO!$U$59,-1,0)</definedName>
    <definedName function="false" hidden="true" name="Import.Código" vbProcedure="false">OFFSET(ORÇAMENTO!$Q$15,1,0):OFFSET(ORÇAMENTO!$Q$59,-1,0)</definedName>
    <definedName function="false" hidden="true" name="Import.DataBaseLicit" vbProcedure="false">OFFSET(DADOS!$D$41,0,-1)</definedName>
    <definedName function="false" hidden="true" name="Import.DataEmissaoLicit" vbProcedure="false">DADOS!$C$36</definedName>
    <definedName function="false" hidden="true" name="Import.DataFechaRRE" vbProcedure="false">DADOS!$C$48</definedName>
    <definedName function="false" hidden="true" name="Import.DataInicioObra" vbProcedure="false">DADOS!$C$47</definedName>
    <definedName function="false" hidden="true" name="Import.DataPreenchimento" vbProcedure="false">OFFSET(DADOS!$D$25,0,-1)</definedName>
    <definedName function="false" hidden="true" name="Import.DescLote" vbProcedure="false">DADOS!$C$17</definedName>
    <definedName function="false" hidden="true" name="Import.Descrição" vbProcedure="false">OFFSET(ORÇAMENTO!$R$15,1,0):OFFSET(ORÇAMENTO!$R$59,-1,0)</definedName>
    <definedName function="false" hidden="true" name="Import.empresa" vbProcedure="false">DADOS!$C$38</definedName>
    <definedName function="false" hidden="true" name="Import.EventoAdmLocal" vbProcedure="false">CRONOPLE!$B$8</definedName>
    <definedName function="false" hidden="true" name="Import.Eventos.Nomes" vbProcedure="false">OFFSET(EVENTOS!$D$15,1,0):OFFSET(EVENTOS!$D$65,-1,0)</definedName>
    <definedName function="false" hidden="true" name="Import.Eventos.Nível" vbProcedure="false">EVENTOS!$C$8</definedName>
    <definedName function="false" hidden="true" name="Import.Fonte" vbProcedure="false">OFFSET(ORÇAMENTO!$P$15,1,0):OFFSET(ORÇAMENTO!$P$59,-1,0)</definedName>
    <definedName function="false" hidden="true" name="Import.FrenteDeObra" vbProcedure="false">CÁLCULO!$Q$12:OFFSET(CÁLCULO!$AA$12,0,-1)</definedName>
    <definedName function="false" hidden="true" name="Import.MacrosserviçoAdmLocal" vbProcedure="false">CRONO!$H$61</definedName>
    <definedName function="false" hidden="true" name="Import.Município" vbProcedure="false">DADOS!$C$6</definedName>
    <definedName function="false" hidden="true" name="Import.Nível" vbProcedure="false">OFFSET(ORÇAMENTO!$M$15,1,0):OFFSET(ORÇAMENTO!$M$59,-1,0)</definedName>
    <definedName function="false" hidden="true" name="Import.Ofício.Dest" vbProcedure="false">OFÍCIO!$B$11</definedName>
    <definedName function="false" hidden="true" name="Import.Ofício.GIGOV" vbProcedure="false">OFÍCIO!$C$11</definedName>
    <definedName function="false" hidden="true" name="Import.Ofício.Num" vbProcedure="false">OFÍCIO!$C$6</definedName>
    <definedName function="false" hidden="true" name="Import.OpcaoBDI" vbProcedure="false">OFFSET(ORÇAMENTO!$V$15,1,0):OFFSET(ORÇAMENTO!$V$59,-1,0)</definedName>
    <definedName function="false" hidden="true" name="Import.ORÇAMENTO.DivRecurso" vbProcedure="false">OFFSET(ORÇAMENTO!$Y$15,1,0):OFFSET(ORÇAMENTO!$Y$59,-1,0)</definedName>
    <definedName function="false" hidden="true" name="Import.ORÇAMENTO.Obs" vbProcedure="false">ORÇAMENTO!$O$65</definedName>
    <definedName function="false" hidden="true" name="Import.PLE" vbProcedure="false">OFFSET(PLE!$G$15,1,1):OFFSET(PLE!$AG$65,-1,-1)</definedName>
    <definedName function="false" hidden="true" name="Import.PLE.Datas" vbProcedure="false">PLE!$I$68:$AF$68</definedName>
    <definedName function="false" hidden="true" name="Import.PLQ" vbProcedure="false">OFFSET(CÁLCULO!$P$15,1,1):OFFSET(CÁLCULO!$AA$59,-1,-1)</definedName>
    <definedName function="false" hidden="true" name="Import.PLQ.MemCalc" vbProcedure="false">OFFSET(CÁLCULO!$I$15,1,0):OFFSET(CÁLCULO!$I$59,-1,0)</definedName>
    <definedName function="false" hidden="true" name="Import.PLQ.nAgrupEvent" vbProcedure="false">OFFSET(CÁLCULO!$K$15,1,0):OFFSET(CÁLCULO!$K$59,-1,0)</definedName>
    <definedName function="false" hidden="true" name="Import.POArred" vbProcedure="false">ORÇAMENTO!$AF$7:$AF$11</definedName>
    <definedName function="false" hidden="true" name="IMport.Prefeito" vbProcedure="false">DADOS!$C$28:$C$29</definedName>
    <definedName function="false" hidden="true" name="Import.Proponente" vbProcedure="false">DADOS!$C$5</definedName>
    <definedName function="false" hidden="true" name="Import.QCI.Divisao" vbProcedure="false">OFFSET(QCI!$V$13,1,0):OFFSET(QCI!$V$24,-1,0)</definedName>
    <definedName function="false" hidden="true" name="Import.QCI.ItemInv" vbProcedure="false">OFFSET(QCI!$E$13,1,0):OFFSET(QCI!$E$24,-1,0)</definedName>
    <definedName function="false" hidden="true" name="Import.QCI.Obs" vbProcedure="false">QCI!$D$28</definedName>
    <definedName function="false" hidden="true" name="Import.QCI.Qtde" vbProcedure="false">OFFSET(QCI!$I$13,1,0):OFFSET(QCI!$I$24,-1,0)</definedName>
    <definedName function="false" hidden="true" name="Import.QCI.Situacao" vbProcedure="false">OFFSET(QCI!$H$13,1,0):OFFSET(QCI!$H$24,-1,0)</definedName>
    <definedName function="false" hidden="true" name="Import.QCI.SubItemInv" vbProcedure="false">OFFSET(QCI!$F$13,1,0):OFFSET(QCI!$F$24,-1,0)</definedName>
    <definedName function="false" hidden="true" name="Import.QCICP" vbProcedure="false">OFFSET(QCI!$W$13,1,0):OFFSET(QCI!$W$24,-1,0)</definedName>
    <definedName function="false" hidden="true" name="Import.QCIDesc" vbProcedure="false">OFFSET(QCI!$R$13,1,0):OFFSET(QCI!$R$24,-1,0)</definedName>
    <definedName function="false" hidden="true" name="Import.QCIInv" vbProcedure="false">OFFSET(QCI!$U$13,1,0):OFFSET(QCI!$U$24,-1,0)</definedName>
    <definedName function="false" hidden="true" name="Import.QCILote" vbProcedure="false">OFFSET(QCI!$T$13,1,0):OFFSET(QCI!$T$24,-1,0)</definedName>
    <definedName function="false" hidden="true" name="Import.QCIOutros" vbProcedure="false">OFFSET(QCI!$X$13,1,0):OFFSET(QCI!$X$24,-1,0)</definedName>
    <definedName function="false" hidden="true" name="Import.Quantidade" vbProcedure="false">OFFSET(ORÇAMENTO!$AJ$15,1,0):OFFSET(ORÇAMENTO!$AJ$59,-1,0)</definedName>
    <definedName function="false" hidden="true" name="import.recurso" vbProcedure="false">DADOS!$C$4</definedName>
    <definedName function="false" hidden="true" name="Import.Repasse" vbProcedure="false">DADOS!$C$9</definedName>
    <definedName function="false" hidden="true" name="Import.RespFiscalização" vbProcedure="false">DADOS!$C$51:$C$54</definedName>
    <definedName function="false" hidden="true" name="Import.RespOrçamento" vbProcedure="false">DADOS!$C$22:$C$24</definedName>
    <definedName function="false" hidden="true" name="Import.RRE.Financeiro" vbProcedure="false">RRE!$M$47:$O$49</definedName>
    <definedName function="false" hidden="true" name="Import.RRE.Obs" vbProcedure="false">RRE!$E$31</definedName>
    <definedName function="false" hidden="true" name="Import.RRE.Social" vbProcedure="false">RRE!$F$47:$G$49</definedName>
    <definedName function="false" hidden="true" name="Import.SICONV" vbProcedure="false">DADOS!$C$8</definedName>
    <definedName function="false" hidden="true" name="Import.TipoArredondamento" vbProcedure="false">DADOS!$C$31</definedName>
    <definedName function="false" hidden="true" name="Import.TransfereGOV" vbProcedure="false">DADOS!$C$8</definedName>
    <definedName function="false" hidden="true" name="Import.Unidade" vbProcedure="false">OFFSET(ORÇAMENTO!$S$15,1,0):OFFSET(ORÇAMENTO!$S$59,-1,0)</definedName>
    <definedName function="false" hidden="true" name="Import.UnitarioLicitado" vbProcedure="false">OFFSET(ORÇAMENTO!$AL$15,1,0):OFFSET(ORÇAMENTO!$AL$59,-1,0)</definedName>
    <definedName function="false" hidden="true" name="ListaTgov.Unidades" vbProcedure="false">DADOS!$AV$3:$AV$220</definedName>
    <definedName function="false" hidden="true" name="MENU.Acompanhamento" vbProcedure="false">MENU!$O$4</definedName>
    <definedName function="false" hidden="true" name="Menu.b.bdi" vbProcedure="false">MENU!$C$10</definedName>
    <definedName function="false" hidden="true" name="Menu.b.bm" vbProcedure="false">MENU!$G$22</definedName>
    <definedName function="false" hidden="true" name="Menu.b.branco" vbProcedure="false">MENU!$G$12</definedName>
    <definedName function="false" hidden="true" name="Menu.b.cronolicit" vbProcedure="false">MENU!$G$18</definedName>
    <definedName function="false" hidden="true" name="Menu.b.cronoprop" vbProcedure="false">MENU!$E$12</definedName>
    <definedName function="false" hidden="true" name="Menu.b.dados" vbProcedure="false">MENU!$E$6</definedName>
    <definedName function="false" hidden="true" name="Menu.b.novo" vbProcedure="false">MENU!$G$6</definedName>
    <definedName function="false" hidden="true" name="Menu.b.oficio" vbProcedure="false">MENU!$E$24</definedName>
    <definedName function="false" hidden="true" name="Menu.b.orçlicit" vbProcedure="false">MENU!$C$18</definedName>
    <definedName function="false" hidden="true" name="Menu.b.orçprop" vbProcedure="false">MENU!$E$10</definedName>
    <definedName function="false" hidden="true" name="Menu.b.PLE" vbProcedure="false">MENU!$C$22</definedName>
    <definedName function="false" hidden="true" name="Menu.b.PLQ" vbProcedure="false">MENU!$G$10</definedName>
    <definedName function="false" hidden="true" name="Menu.b.QCIlicit" vbProcedure="false">MENU!$E$18</definedName>
    <definedName function="false" hidden="true" name="Menu.b.qciprop" vbProcedure="false">MENU!$C$12</definedName>
    <definedName function="false" hidden="true" name="Menu.b.RRE" vbProcedure="false">MENU!$E$22</definedName>
    <definedName function="false" hidden="true" name="MENU.CRONO" vbProcedure="false">OFFSET(CRONO!$U$11,1,0)</definedName>
    <definedName function="false" hidden="true" name="MENU.Import.Form.PLQ" vbProcedure="false">MENU!$K$2</definedName>
    <definedName function="false" hidden="true" name="MENU.Import.Form.PreçoUnit" vbProcedure="false">MENU!$K$1</definedName>
    <definedName function="false" hidden="true" name="MENU.TipoOrçamento" vbProcedure="false">MENU!$O$3</definedName>
    <definedName function="false" hidden="true" name="Menu.tit.acompanhamento" vbProcedure="false">MENU!$B$20</definedName>
    <definedName function="false" hidden="true" name="Menu.tit.licitacao" vbProcedure="false">MENU!$B$16</definedName>
    <definedName function="false" hidden="true" name="Menu.tit.proposta" vbProcedure="false">MENU!$B$8</definedName>
    <definedName function="false" hidden="true" name="NumEventos" vbProcedure="false">COUNT(OFFSET(eventos,0,0,,1))</definedName>
    <definedName function="false" hidden="true" name="Objeto" vbProcedure="false">MENU!$J$1</definedName>
    <definedName function="false" hidden="true" name="OFÍCIO.Erro" vbProcedure="false">OFÍCIO!$C$5</definedName>
    <definedName function="false" hidden="true" name="ORÇAMENTO.BancoRef" vbProcedure="false">ORÇAMENTO!$F$8</definedName>
    <definedName function="false" hidden="true" name="ORÇAMENTO.CodBarra" vbProcedure="false">IF(ORÇAMENTO.Fonte="Sinapi",SUBSTITUTE(SUBSTITUTE(ORÇAMENTO.Codigo,"/00","/"),"/0","/"),ORÇAMENTO.Codigo)</definedName>
    <definedName function="false" hidden="true" name="ORÇAMENTO.Fonte" vbProcedure="false">ORÇAMENTO!$P1</definedName>
    <definedName function="false" hidden="true" name="ORÇAMENTO.Codigo" vbProcedure="false">ORÇAMENTO!$Q1</definedName>
    <definedName function="false" hidden="true" name="ORÇAMENTO.ColAux1" vbProcedure="false">ORÇAMENTO!$Z:$AB</definedName>
    <definedName function="false" hidden="true" name="ORÇAMENTO.ColAux2" vbProcedure="false">ORÇAMENTO!$AD:$AF</definedName>
    <definedName function="false" hidden="true" name="ORÇAMENTO.ColunaLicit" vbProcedure="false">ORÇAMENTO!$AL$15</definedName>
    <definedName function="false" hidden="true" name="ORÇAMENTO.CopyFormat1" vbProcedure="false">ORÇAMENTO!$P$14:$S$14</definedName>
    <definedName function="false" hidden="true" name="ORÇAMENTO.CopyFormat2" vbProcedure="false">ORÇAMENTO!$U$14:$V$14</definedName>
    <definedName function="false" hidden="true" name="ORÇAMENTO.CustoUnitario" vbProcedure="false">ROUND(ORÇAMENTO!$U1,15-13*ORÇAMENTO!$AF$8)</definedName>
    <definedName function="false" hidden="true" name="ORÇAMENTO.Descricao" vbProcedure="false">ORÇAMENTO!$R1</definedName>
    <definedName function="false" hidden="true" name="ORÇAMENTO.Erro" vbProcedure="false">ORÇAMENTO!$O$12</definedName>
    <definedName function="false" hidden="true" name="ORÇAMENTO.Filtro" vbProcedure="false">ORÇAMENTO!$L$15:$L$59</definedName>
    <definedName function="false" hidden="true" name="ORÇAMENTO.firstrow" vbProcedure="false">ORÇAMENTO!$15:$15</definedName>
    <definedName function="false" hidden="true" name="ORÇAMENTO.lastrow" vbProcedure="false">ORÇAMENTO!$59:$59</definedName>
    <definedName function="false" hidden="true" name="ORÇAMENTO.LinhaPadrão" vbProcedure="false">ORÇAMENTO!$14:$14</definedName>
    <definedName function="false" hidden="true" name="ORÇAMENTO.Lista.BDI" vbProcedure="false">ORÇAMENTO!$F$4:$I$4</definedName>
    <definedName function="false" hidden="true" name="ORÇAMENTO.Lista.Fonte" vbProcedure="false">ORÇAMENTO!$E$3:$I$3</definedName>
    <definedName function="false" hidden="true" name="ORÇAMENTO.Lista.Nível" vbProcedure="false">ORÇAMENTO!$E$2:$I$2</definedName>
    <definedName function="false" hidden="true" name="ORÇAMENTO.Lista.Recurso" vbProcedure="false">ORÇAMENTO!$F$7:$I$7</definedName>
    <definedName function="false" hidden="true" name="ORÇAMENTO.MáximoListaCrono" vbProcedure="false">MAX(ORÇAMENTO.ListaCrono)</definedName>
    <definedName function="false" hidden="true" name="ORÇAMENTO.Nivel" vbProcedure="false">ORÇAMENTO!$M1</definedName>
    <definedName function="false" hidden="true" name="ORÇAMENTO.OpcaoBDI" vbProcedure="false">ORÇAMENTO!$V1</definedName>
    <definedName function="false" hidden="true" name="ORÇAMENTO.PasteFormat1" vbProcedure="false">OFFSET(ORÇAMENTO!$P$15,1,0):OFFSET(ORÇAMENTO!$S$59,-1,0)</definedName>
    <definedName function="false" hidden="true" name="ORÇAMENTO.PasteFormat2" vbProcedure="false">OFFSET(ORÇAMENTO!$U$15,1,0):OFFSET(ORÇAMENTO!$V$59,-1,0)</definedName>
    <definedName function="false" hidden="true" name="ORÇAMENTO.PrecoUnitarioLicitado" vbProcedure="false">ORÇAMENTO!$AL1</definedName>
    <definedName function="false" hidden="true" name="ORÇAMENTO.QuantBM" vbProcedure="false">ORÇAMENTO!$AJ1</definedName>
    <definedName function="false" hidden="true" name="ORÇAMENTO.RangeQuant" vbProcedure="false">OFFSET(ORÇAMENTO!$T$15,1,0):OFFSET(ORÇAMENTO!$T$59,-1,0)</definedName>
    <definedName function="false" hidden="true" name="ORÇAMENTO.SumCPMANUAL" vbProcedure="false">SUMIF(ORÇAMENTO!$Z$15:$Z$59,"CP",ORÇAMENTO!$AA$15:$AA$59)</definedName>
    <definedName function="false" hidden="true" name="ORÇAMENTO.SumINVMANUAL" vbProcedure="false">SUMIF(ORÇAMENTO!$Z$15:$Z$59,"RP",ORÇAMENTO!$X$15:$X$59)+SUMIF(ORÇAMENTO!$Z$15:$Z$59,"CP",ORÇAMENTO!$X$15:$X$59)+SUMIF(ORÇAMENTO!$Z$15:$Z$59,"OU",ORÇAMENTO!$X$15:$X$59)</definedName>
    <definedName function="false" hidden="true" name="ORÇAMENTO.SumOUTROSMANUAL" vbProcedure="false">SUMIF(ORÇAMENTO!$Z$15:$Z$59,"OU",ORÇAMENTO!$AB$15:$AB$59)</definedName>
    <definedName function="false" hidden="true" name="ORÇAMENTO.SumREPASSEMANUAL" vbProcedure="false">ORÇAMENTO.SumINVMANUAL-ORÇAMENTO.SumCPMANUAL-ORÇAMENTO.SumOUTROSMANUAL</definedName>
    <definedName function="false" hidden="true" name="ORÇAMENTO.Título" vbProcedure="false">ORÇAMENTO!$R$1</definedName>
    <definedName function="false" hidden="true" name="ORÇAMENTO.Unidade" vbProcedure="false">ORÇAMENTO!$S1</definedName>
    <definedName function="false" hidden="true" name="PLE.ColunaPadrão" vbProcedure="false">PLE!$F:$F</definedName>
    <definedName function="false" hidden="true" name="PLE.Erro" vbProcedure="false">PLE!$C$11</definedName>
    <definedName function="false" hidden="true" name="PLE.Filtro" vbProcedure="false">PLE!$A$13:$A$81</definedName>
    <definedName function="false" hidden="true" name="PLE.FirstCol" vbProcedure="false">PLE!$G:$G</definedName>
    <definedName function="false" hidden="true" name="PLE.firstrow" vbProcedure="false">PLE!$15:$15</definedName>
    <definedName function="false" hidden="true" name="PLE.FrenteRow" vbProcedure="false">PLE!$11:$11</definedName>
    <definedName function="false" hidden="true" name="PLE.LastCol" vbProcedure="false">PLE!$AG:$AG</definedName>
    <definedName function="false" hidden="true" name="PLE.lastrow" vbProcedure="false">PLE!$65:$65</definedName>
    <definedName function="false" hidden="true" name="PLE.LinhaPadrão" vbProcedure="false">PLE!$1:$1</definedName>
    <definedName function="false" hidden="true" name="PLE.margemrow" vbProcedure="false">PLE!$82:$82</definedName>
    <definedName function="false" hidden="true" name="PLE.Medicao" vbProcedure="false">PLE!$J$9</definedName>
    <definedName function="false" hidden="true" name="PLE.MEDIÇÕES.firstrow" vbProcedure="false">PLE!$66:$66</definedName>
    <definedName function="false" hidden="true" name="PLE.MEDIÇÕES.lastrow" vbProcedure="false">PLE!$76:$76</definedName>
    <definedName function="false" hidden="true" name="PLE.MEDIÇÕES.LinhaPadrão" vbProcedure="false">PLE!$66:$73</definedName>
    <definedName function="false" hidden="true" name="PLE.Título" vbProcedure="false">PLE!$H$3</definedName>
    <definedName function="false" hidden="true" name="PLE.ValorDoEvento" vbProcedure="false">SUMIF(CÁLCULO!$M$15:$M$59,PLE!$B1,OFFSET(CÁLCULO!$AA$15:$AA$59,0,PLE!A$12))</definedName>
    <definedName function="false" hidden="true" name="PO.ValoresBDI" vbProcedure="false">OFFSET(ORÇAMENTO!$AH$15,1,0):OFFSET(ORÇAMENTO!$AH$59,-1,0)</definedName>
    <definedName function="false" hidden="true" name="QCI.ColAux" vbProcedure="false">QCI!$Z:$AE</definedName>
    <definedName function="false" hidden="true" name="QCI.CPManual" vbProcedure="false">ROUND(QCI!$W1,2)</definedName>
    <definedName function="false" hidden="true" name="QCI.DescManual" vbProcedure="false">QCI!$R1</definedName>
    <definedName function="false" hidden="true" name="QCI.Divisao" vbProcedure="false">QCI!$V1</definedName>
    <definedName function="false" hidden="true" name="QCI.Erro" vbProcedure="false">QCI!$G$9</definedName>
    <definedName function="false" hidden="true" name="QCI.ExisteManual" vbProcedure="false">(COUNTIF(QCI!$B$13:$B$24,"Manual")+COUNTIF(QCI!$B$13:$B$24,"SemiAuto"))&gt;0</definedName>
    <definedName function="false" hidden="true" name="QCI.Filtro" vbProcedure="false">QCI!$C$13:$C$25</definedName>
    <definedName function="false" hidden="true" name="QCI.firstrow" vbProcedure="false">QCI!$13:$13</definedName>
    <definedName function="false" hidden="true" name="QCI.InvManual" vbProcedure="false">ROUND(QCI!$U1,2)</definedName>
    <definedName function="false" hidden="true" name="QCI.ItemInvestimento" vbProcedure="false">OFFSET(DADOS!$L$2,1,0,COUNTA(DADOS!$L:$L)-1,1)</definedName>
    <definedName function="false" hidden="true" name="QCI.lastrow" vbProcedure="false">QCI!$24:$24</definedName>
    <definedName function="false" hidden="true" name="QCI.LinhaPadrão" vbProcedure="false">QCI!$12:$12</definedName>
    <definedName function="false" hidden="true" name="QCI.Lista.DivisãoInvest" vbProcedure="false">QCI!$A$8:$A$9</definedName>
    <definedName function="false" hidden="true" name="QCI.Lista.Situação" vbProcedure="false">QCI!$A$2:$A$6</definedName>
    <definedName function="false" hidden="true" name="QCI.LoteManual" vbProcedure="false">QCI!$T1</definedName>
    <definedName function="false" hidden="true" name="QCI.MaxCPManual" vbProcedure="false">QCI!$O1-QCI!$X1</definedName>
    <definedName function="false" hidden="true" name="QCI.MaxOUManual" vbProcedure="false">QCI!$O1-QCI!$W1</definedName>
    <definedName function="false" hidden="true" name="QCI.OutrosManual" vbProcedure="false">ROUND(QCI!$X1,2)</definedName>
    <definedName function="false" hidden="true" name="QCI.RepasseManual" vbProcedure="false">QCI!$U1</definedName>
    <definedName function="false" hidden="true" name="QCI.SubItemInvestimento" vbProcedure="false">OFFSET(DADOS!$A$2,1,MATCH(QCI!$E1,DADOS!$2:$2,0)-1,INDEX(DADOS!$2:$2,MATCH(QCI!$E1,DADOS!$2:$2,0)+1))</definedName>
    <definedName function="false" hidden="true" name="QCI.SumCPMANUAL" vbProcedure="false">SUMIF(QCI!$B$13:$B$24,"Manual",QCI!$AA$13:$AA$24)</definedName>
    <definedName function="false" hidden="true" name="QCI.SumINVMANUAL" vbProcedure="false">SUMIF(QCI!$B$13:$B$24,"Manual",QCI!$O$13:$O$24)</definedName>
    <definedName function="false" hidden="true" name="QCI.SumOUTROSMANUAL" vbProcedure="false">SUMIF(QCI!$B$13:$B$24,"Manual",QCI!$AB$13:$AB$24)</definedName>
    <definedName function="false" hidden="true" name="QCI.SumREPASSEMANUAL" vbProcedure="false">QCI.SumINVMANUAL-QCI.CPManual-QCI.OutrosManual</definedName>
    <definedName function="false" hidden="true" name="QCI.TotalCP" vbProcedure="false">QCI!$M$24</definedName>
    <definedName function="false" hidden="true" name="QCI.Título" vbProcedure="false">QCI!$F$1</definedName>
    <definedName function="false" hidden="true" name="REFERENCIA.Descricao" vbProcedure="false">IF(ISNUMBER(ORÇAMENTO!$AF1),OFFSET(INDIRECT(ORÇAMENTO.BancoRef),ORÇAMENTO!$AF1-1,3,1),ORÇAMENTO!$AF1)</definedName>
    <definedName function="false" hidden="true" name="REFERENCIA.Desonerado" vbProcedure="false">IF(ISNUMBER(ORÇAMENTO!$AF1),VALUE(OFFSET(INDIRECT(ORÇAMENTO.BancoRef),ORÇAMENTO!$AF1-1,5,1)),0)</definedName>
    <definedName function="false" hidden="true" name="REFERENCIA.NaoDesonerado" vbProcedure="false">IF(ISNUMBER(ORÇAMENTO!$AF1),VALUE(OFFSET(INDIRECT(ORÇAMENTO.BancoRef),ORÇAMENTO!$AF1-1,6,1)),0)</definedName>
    <definedName function="false" hidden="true" name="REFERENCIA.Unidade" vbProcedure="false">IF(ISNUMBER(ORÇAMENTO!$AF1),OFFSET(INDIRECT(ORÇAMENTO.BancoRef),ORÇAMENTO!$AF1-1,4,1),"-")</definedName>
    <definedName function="false" hidden="true" name="RRE.ColAux1" vbProcedure="false">RRE!$Q:$V</definedName>
    <definedName function="false" hidden="true" name="RRE.ColAux2" vbProcedure="false">RRE!$AC:$AO</definedName>
    <definedName function="false" hidden="true" name="RRE.CPDiferente" vbProcedure="false">RRE!$Y$26:$Z$27</definedName>
    <definedName function="false" hidden="true" name="RRE.Filtro" vbProcedure="false">RRE!$D$13:$D$28</definedName>
    <definedName function="false" hidden="true" name="RRE.firstrow" vbProcedure="false">RRE!$13:$13</definedName>
    <definedName function="false" hidden="true" name="RRE.lastrow" vbProcedure="false">RRE!$24:$24</definedName>
    <definedName function="false" hidden="true" name="RRE.LinhaPadrão" vbProcedure="false">RRE!$12:$12</definedName>
    <definedName function="false" hidden="true" name="RRE.MaxCPAcum" vbProcedure="false">RRE!$AD$26</definedName>
    <definedName function="false" hidden="true" name="RRE.MaxCPAnt" vbProcedure="false">RRE!$AC$26</definedName>
    <definedName function="false" hidden="true" name="RRE.MaxOUAcum" vbProcedure="false">RRE!$AD$27</definedName>
    <definedName function="false" hidden="true" name="RRE.MaxOUAnt" vbProcedure="false">RRE!$AC$27</definedName>
    <definedName function="false" hidden="true" name="RRE.Numero" vbProcedure="false">OFFSET(RRE!$O$7,0,1)</definedName>
    <definedName function="false" hidden="true" name="RRE.Título" vbProcedure="false">RRE!$F$1</definedName>
    <definedName function="false" hidden="true" name="RRE.VIMeta" vbProcedure="false">RRE!$L1</definedName>
    <definedName function="false" hidden="true" name="SENHAGT" vbProcedure="false">"PM3CAIXA"</definedName>
    <definedName function="false" hidden="true" name="SomaAgrup" vbProcedure="false">SUMIF(OFFSET(ORÇAMENTO!$C1,1,0,ORÇAMENTO!$D1),"S",OFFSET(ORÇAMENTO!A1,1,0,ORÇAMENTO!$D1))</definedName>
    <definedName function="false" hidden="true" name="SomaAgrupBM" vbProcedure="false">SUMIF(OFFSET(BM!$A1,1,0,BM!$B1),"S",OFFSET(BM!A1,1,0,BM!$B1))</definedName>
    <definedName function="false" hidden="true" name="TIPOORCAMENTO" vbProcedure="false">IF(VALUE(MENU!$O$3)=2,"Licitado","Proposto")</definedName>
    <definedName function="false" hidden="true" name="Versao" vbProcedure="false">MENU!$J$2</definedName>
    <definedName function="false" hidden="true" name="VTOTAL1" vbProcedure="false">ROUND(ORÇAMENTO!$T1*ORÇAMENTO!$W1,15-13*ORÇAMENTO!$AF$11)</definedName>
    <definedName function="false" hidden="true" name="VTOTALBM" vbProcedure="false">IF(BM!$I1=0,0,CHOOSE(MATCH(RegimeExecucao,{"Global","Unitário"},0),ROUND(ROUND(BM!XFB1,15-13*BM!$A$9)/100*BM!$I1,15-13*ORÇAMENTO!$AF$11),ROUND(ROUND(BM!XFB1,15-13*BM!$A$9)*ROUND(BM!$H1,15-13*ORÇAMENTO!$AF$10),15-13*ORÇAMENTO!$AF$11)))</definedName>
    <definedName function="false" hidden="true" name="VTOTALMED" vbProcedure="false">BM!$P$14</definedName>
    <definedName function="false" hidden="true" localSheetId="16" name="NumEventos" vbProcedure="false">COUNT(OFFSET(eventos,0,0,,1))</definedName>
  </definedNames>
  <calcPr iterateCount="100" refMode="A1" iterate="false" iterateDelta="0.0001"/>
  <extLst>
    <ext xmlns:loext="http://schemas.libreoffice.org/" uri="{7626C862-2A13-11E5-B345-FEFF819CDC9F}">
      <loext:extCalcPr stringRefSyntax="ExcelA1"/>
    </ext>
  </extLst>
</workbook>
</file>

<file path=xl/comments10.xml><?xml version="1.0" encoding="utf-8"?>
<comments xmlns="http://schemas.openxmlformats.org/spreadsheetml/2006/main" xmlns:xdr="http://schemas.openxmlformats.org/drawingml/2006/spreadsheetDrawing">
  <authors>
    <author>Autor desconhecido</author>
  </authors>
  <commentList>
    <comment ref="C7" authorId="0">
      <text>
        <r>
          <rPr>
            <sz val="10"/>
            <rFont val="Arial"/>
            <family val="2"/>
          </rPr>
          <t xml:space="preserve">FILTRO:
</t>
        </r>
        <r>
          <rPr>
            <sz val="9"/>
            <color rgb="FF000000"/>
            <rFont val="Tahoma"/>
            <family val="2"/>
            <charset val="1"/>
          </rPr>
          <t xml:space="preserve">Após a conclusão do Orçamento, utilize o filtro nessa coluna com o valor "F" para ocultar linhas não utilizadas.</t>
        </r>
      </text>
    </comment>
  </commentList>
</comments>
</file>

<file path=xl/comments12.xml><?xml version="1.0" encoding="utf-8"?>
<comments xmlns="http://schemas.openxmlformats.org/spreadsheetml/2006/main" xmlns:xdr="http://schemas.openxmlformats.org/drawingml/2006/spreadsheetDrawing">
  <authors>
    <author>Autor desconhecido</author>
  </authors>
  <commentList>
    <comment ref="C8" authorId="0">
      <text>
        <r>
          <rPr>
            <sz val="10"/>
            <rFont val="Arial"/>
            <family val="2"/>
          </rPr>
          <t xml:space="preserve">FILTRO:
</t>
        </r>
        <r>
          <rPr>
            <sz val="9"/>
            <color rgb="FF000000"/>
            <rFont val="Tahoma"/>
            <family val="2"/>
            <charset val="1"/>
          </rPr>
          <t xml:space="preserve">Após a conclusão do Orçamento, utilize o filtro nessa coluna com o valor "F" para ocultar linhas não utilizadas.</t>
        </r>
      </text>
    </comment>
    <comment ref="AB12" authorId="0">
      <text>
        <r>
          <rPr>
            <sz val="10"/>
            <rFont val="Arial"/>
            <family val="2"/>
          </rPr>
          <t xml:space="preserve">Digite nestes campos as datas das medições</t>
        </r>
      </text>
    </comment>
    <comment ref="AB13" authorId="0">
      <text>
        <r>
          <rPr>
            <sz val="10"/>
            <rFont val="Arial"/>
            <family val="2"/>
          </rPr>
          <t xml:space="preserve">Para medições além da 12ª, preencha esta coluna com as </t>
        </r>
        <r>
          <rPr>
            <b val="true"/>
            <sz val="9"/>
            <color rgb="FF000000"/>
            <rFont val="Tahoma"/>
            <family val="2"/>
            <charset val="1"/>
          </rPr>
          <t xml:space="preserve">quantidades acumuladas.</t>
        </r>
      </text>
    </comment>
  </commentList>
</comments>
</file>

<file path=xl/comments13.xml><?xml version="1.0" encoding="utf-8"?>
<comments xmlns="http://schemas.openxmlformats.org/spreadsheetml/2006/main" xmlns:xdr="http://schemas.openxmlformats.org/drawingml/2006/spreadsheetDrawing">
  <authors>
    <author>Autor desconhecido</author>
  </authors>
  <commentList>
    <comment ref="D7" authorId="0">
      <text>
        <r>
          <rPr>
            <sz val="10"/>
            <rFont val="Arial"/>
            <family val="2"/>
          </rPr>
          <t xml:space="preserve">FILTRO:
</t>
        </r>
        <r>
          <rPr>
            <sz val="9"/>
            <color rgb="FF000000"/>
            <rFont val="Tahoma"/>
            <family val="2"/>
            <charset val="1"/>
          </rPr>
          <t xml:space="preserve">Após a conclusão do Orçamento, utilize o filtro nessa coluna com o valor "F" para ocultar linhas não utilizadas.</t>
        </r>
      </text>
    </comment>
    <comment ref="Z25" authorId="0">
      <text>
        <r>
          <rPr>
            <sz val="10"/>
            <rFont val="Arial"/>
            <family val="2"/>
          </rPr>
          <t xml:space="preserve">Valores de Contrapartida e Outros:
</t>
        </r>
        <r>
          <rPr>
            <sz val="9"/>
            <color rgb="FF000000"/>
            <rFont val="Segoe UI"/>
            <family val="2"/>
            <charset val="1"/>
          </rPr>
          <t xml:space="preserve">Digite somente para desbloquear valores diferentes do previsto no RRE.</t>
        </r>
      </text>
    </comment>
  </commentList>
</comments>
</file>

<file path=xl/comments3.xml><?xml version="1.0" encoding="utf-8"?>
<comments xmlns="http://schemas.openxmlformats.org/spreadsheetml/2006/main" xmlns:xdr="http://schemas.openxmlformats.org/drawingml/2006/spreadsheetDrawing">
  <authors>
    <author>Autor desconhecido</author>
  </authors>
  <commentList>
    <comment ref="C41" authorId="0">
      <text>
        <r>
          <rPr>
            <sz val="10"/>
            <rFont val="Arial"/>
            <family val="2"/>
          </rPr>
          <t xml:space="preserve">Informar a data-base do CTEF no formato mm-aaaa.</t>
        </r>
      </text>
    </comment>
  </commentList>
</comments>
</file>

<file path=xl/comments4.xml><?xml version="1.0" encoding="utf-8"?>
<comments xmlns="http://schemas.openxmlformats.org/spreadsheetml/2006/main" xmlns:xdr="http://schemas.openxmlformats.org/drawingml/2006/spreadsheetDrawing">
  <authors>
    <author>Autor desconhecido</author>
  </authors>
  <commentList>
    <comment ref="I6" authorId="0">
      <text>
        <r>
          <rPr>
            <sz val="10"/>
            <rFont val="Arial"/>
            <family val="2"/>
          </rPr>
          <t xml:space="preserve">FILTRO:
</t>
        </r>
        <r>
          <rPr>
            <sz val="9"/>
            <color rgb="FF000000"/>
            <rFont val="Tahoma"/>
            <family val="2"/>
            <charset val="1"/>
          </rPr>
          <t xml:space="preserve">Após a conclusão do Orçamento, utilize o filtro nessa coluna com o valor "F" para ocultar linhas não utilizadas.</t>
        </r>
      </text>
    </comment>
  </commentList>
</comments>
</file>

<file path=xl/comments5.xml><?xml version="1.0" encoding="utf-8"?>
<comments xmlns="http://schemas.openxmlformats.org/spreadsheetml/2006/main" xmlns:xdr="http://schemas.openxmlformats.org/drawingml/2006/spreadsheetDrawing">
  <authors>
    <author>Autor desconhecido</author>
  </authors>
  <commentList>
    <comment ref="L8" authorId="0">
      <text>
        <r>
          <rPr>
            <sz val="10"/>
            <rFont val="Arial"/>
            <family val="2"/>
          </rPr>
          <t xml:space="preserve">FILTRO:
</t>
        </r>
        <r>
          <rPr>
            <sz val="9"/>
            <color rgb="FF000000"/>
            <rFont val="Tahoma"/>
            <family val="2"/>
            <charset val="1"/>
          </rPr>
          <t xml:space="preserve">Após a conclusão do Orçamento, utilize o filtro nessa coluna com o valor "F" para ocultar linhas não utilizadas.</t>
        </r>
      </text>
    </comment>
    <comment ref="Y8" authorId="0">
      <text>
        <r>
          <rPr>
            <sz val="10"/>
            <rFont val="Arial"/>
            <family val="2"/>
          </rPr>
          <t xml:space="preserve">RECURSO:
</t>
        </r>
        <r>
          <rPr>
            <sz val="9"/>
            <color rgb="FF000000"/>
            <rFont val="Tahoma"/>
            <family val="2"/>
            <charset val="1"/>
          </rPr>
          <t xml:space="preserve">Selecione a composição do item do Orçamento no Investimento.
RA: Rateio proporcional entre Repasse e Contrapartida.
RP: 100% valor de Repasse.
CP: 100%  valor de Contrapartida.
OU: 100% valor "Outros".</t>
        </r>
      </text>
    </comment>
    <comment ref="AJ7" authorId="0">
      <text>
        <r>
          <rPr>
            <sz val="10"/>
            <rFont val="Arial"/>
            <family val="2"/>
          </rPr>
          <t xml:space="preserve">QUANTIDADES:
</t>
        </r>
        <r>
          <rPr>
            <sz val="9"/>
            <color rgb="FF000000"/>
            <rFont val="Tahoma"/>
            <family val="2"/>
            <charset val="1"/>
          </rPr>
          <t xml:space="preserve">PREENCHA AS QUANTIDADES AQUI PARA ACOMPANHAMENTOS POR BM.</t>
        </r>
      </text>
    </comment>
    <comment ref="AL7" authorId="0">
      <text>
        <r>
          <rPr>
            <sz val="10"/>
            <rFont val="Arial"/>
            <family val="2"/>
          </rPr>
          <t xml:space="preserve">PREÇO UNITÁRIO LICITADO:
</t>
        </r>
        <r>
          <rPr>
            <sz val="9"/>
            <color rgb="FF000000"/>
            <rFont val="Tahoma"/>
            <family val="2"/>
            <charset val="1"/>
          </rPr>
          <t xml:space="preserve">PREENCHA AQUI O PREÇO UNITÁRIO DA LICITAÇÃO.</t>
        </r>
      </text>
    </comment>
  </commentList>
</comments>
</file>

<file path=xl/comments6.xml><?xml version="1.0" encoding="utf-8"?>
<comments xmlns="http://schemas.openxmlformats.org/spreadsheetml/2006/main" xmlns:xdr="http://schemas.openxmlformats.org/drawingml/2006/spreadsheetDrawing">
  <authors>
    <author>Autor desconhecido</author>
  </authors>
  <commentList>
    <comment ref="D15" authorId="0">
      <text>
        <r>
          <rPr>
            <sz val="10"/>
            <rFont val="Arial"/>
            <family val="2"/>
          </rPr>
          <t xml:space="preserve">O evento de administração local é fixo, de uso opcional.
Os serviços agrupados neste evento serão medidos proporcionalmente à execução dos demais eventos.</t>
        </r>
      </text>
    </comment>
  </commentList>
</comments>
</file>

<file path=xl/sharedStrings.xml><?xml version="1.0" encoding="utf-8"?>
<sst xmlns="http://schemas.openxmlformats.org/spreadsheetml/2006/main" count="2005" uniqueCount="1079">
  <si>
    <t xml:space="preserve">Novidades da Versão</t>
  </si>
  <si>
    <t xml:space="preserve">V3.00</t>
  </si>
  <si>
    <t xml:space="preserve">GERAL</t>
  </si>
  <si>
    <t xml:space="preserve">Lançamento: Adequação à Portaria 424/2016. Acompanhamento por Eventos.</t>
  </si>
  <si>
    <t xml:space="preserve">V3.01</t>
  </si>
  <si>
    <t xml:space="preserve">Ajustes de formatações.</t>
  </si>
  <si>
    <t xml:space="preserve">PO</t>
  </si>
  <si>
    <t xml:space="preserve">Correção da aplicação do BDI não desonerado.</t>
  </si>
  <si>
    <t xml:space="preserve">Inclusão de coluna exclusiva "Preço Unitário Edital", para o Modo 'Orçamento Licitado'.</t>
  </si>
  <si>
    <t xml:space="preserve">V3.02</t>
  </si>
  <si>
    <t xml:space="preserve">Correção do Problema de Guias ocultas no BROFFICE.</t>
  </si>
  <si>
    <t xml:space="preserve">ORÇAMENTO</t>
  </si>
  <si>
    <t xml:space="preserve">Ampliada obtenção de dados da Planilha Referência de 20.000 para 65.536 linhas.</t>
  </si>
  <si>
    <t xml:space="preserve">CRONOGRAMA</t>
  </si>
  <si>
    <t xml:space="preserve">Correção na formulação do total acumulado por Repasse, CP e Outros</t>
  </si>
  <si>
    <t xml:space="preserve">QCI</t>
  </si>
  <si>
    <t xml:space="preserve">Correção na formulação do arredondamento no rateio dos valores do QCI.</t>
  </si>
  <si>
    <t xml:space="preserve">RRE</t>
  </si>
  <si>
    <t xml:space="preserve">Correção na formulação do total por Repasse, CP e Outros.</t>
  </si>
  <si>
    <t xml:space="preserve">V3.03</t>
  </si>
  <si>
    <t xml:space="preserve">CÁLCULO</t>
  </si>
  <si>
    <t xml:space="preserve">Corrigida lentidão e travamento ao incluir e excluir frentes.</t>
  </si>
  <si>
    <t xml:space="preserve">V3.04</t>
  </si>
  <si>
    <t xml:space="preserve">BDI</t>
  </si>
  <si>
    <t xml:space="preserve">Correção da CPRB que exibia 4,5% mesmo quando não desonerado.</t>
  </si>
  <si>
    <t xml:space="preserve">Correção da distribuição de Repasse, CP e Outros para as metas manuais.</t>
  </si>
  <si>
    <t xml:space="preserve">Adicionado botão para adotar a CP do QCI como CP do contrato (zera saldo a reprogramar de CP).</t>
  </si>
  <si>
    <t xml:space="preserve">V3.05</t>
  </si>
  <si>
    <t xml:space="preserve">Corrigido modo de Cálculo da Planilha para Automático.</t>
  </si>
  <si>
    <t xml:space="preserve">V3.06</t>
  </si>
  <si>
    <t xml:space="preserve">Adicionado modo de arredondamento para compatibilidade com o TransfereGOV, altera na aba DADOS</t>
  </si>
  <si>
    <t xml:space="preserve">A planilha passará a ser disponibilizada com o formato .xlsm. Deve ser usado arquivo referência 1.9 ou superior, também no formato .xlsm</t>
  </si>
  <si>
    <t xml:space="preserve">V3.07</t>
  </si>
  <si>
    <t xml:space="preserve">Alterada a posição da aba NOVO para antes da aba MENU.</t>
  </si>
  <si>
    <t xml:space="preserve">Alterada a posição da aba CÁLCULO para depois da aba EVENTOS. Pois, no caso de acompanhamento por PLE, a lista supensa na coluna "Nº  Agrupador de Eventos" na aba CÁLCULO depende do preenchimento prévio da aba EVENTOS.</t>
  </si>
  <si>
    <t xml:space="preserve">Alterada a posição da aba CRONO para depois da aba CRONOPLE. Pois, no caso de acompanhamento por PLE, a aba CRONO tem o preenchimento automático a partir da aba CRONOPLE.</t>
  </si>
  <si>
    <t xml:space="preserve">Alterada a posição da aba PLE para depois da aba QCI. Com a finalidade de deixar agrupadas todas as abas de acompanhamento (PLE, BM, RRE, OFÍCIO).</t>
  </si>
  <si>
    <t xml:space="preserve">Acrescentados botões de navegação (cor azul claro) em várias abas. Em relação a esses botões, também foram ajustados os links, nomes e formatação.</t>
  </si>
  <si>
    <t xml:space="preserve">Criada macro para exibir apenas as abas pertinentes (exemplo: caso o acompanhamento seja por PLE, a aba BM fica oculta).</t>
  </si>
  <si>
    <t xml:space="preserve">Ajuste na macro para correção automática do Nº AGRUPADOR DE EVENTOS na aba CÁLCULO, quando se ADCIONAR ou EXCLUIR LINHAS na aba EVENTOS.</t>
  </si>
  <si>
    <t xml:space="preserve">MENU</t>
  </si>
  <si>
    <t xml:space="preserve">Acrescentado o botão "IMPORTAR DE OUTROS MODELOS CAIXA": PO (MO27476); PLE (MO27477); e QCI (MO41211).</t>
  </si>
  <si>
    <t xml:space="preserve">Acrescentado o botão de seleção "Importar Fórmulas para o Custo Unitário (aba ORÇAMENTO)". </t>
  </si>
  <si>
    <t xml:space="preserve">Caso selecionada, será importada a fórmula (se houver) do custo unitário; Caso desmarcada, será importado somente o valor.</t>
  </si>
  <si>
    <t xml:space="preserve">Acrescentado o botão de seleção "Importar Fórmulas para as Quantidades da PLQ (aba CÁLCULO)". </t>
  </si>
  <si>
    <t xml:space="preserve">Caso selecionada, será importada a fórmula (se houver) do quantitativo; Caso desmarcada, será importado somente o valor.</t>
  </si>
  <si>
    <t xml:space="preserve">Atualizada a macro de Importação para incluir a importar da coluna "Nº Agrupador de Eventos" da aba CÁLCULO.</t>
  </si>
  <si>
    <t xml:space="preserve">Atualizada a macro de Imprimir Documentos (para englobar as abas EVENTOS e CRONOPLE).</t>
  </si>
  <si>
    <t xml:space="preserve">Ajuste automático do valor da CPRB em função da data base do orçamento (para atendimento do Art. 9-A da Lei 12.546 de 14/12/2011).</t>
  </si>
  <si>
    <t xml:space="preserve">EVENTOS</t>
  </si>
  <si>
    <t xml:space="preserve">Acrescentados os dados de identificação do Contrato de Repasse.</t>
  </si>
  <si>
    <t xml:space="preserve">Acrescentadas as colunas dos totais dos Eventos por Frentes de Obra.</t>
  </si>
  <si>
    <t xml:space="preserve">Acrescentados os dados de Local, Data e Responsável Técnico.</t>
  </si>
  <si>
    <t xml:space="preserve">Acrescentado FILTRO para exibir apenas as linhas preenchidas.</t>
  </si>
  <si>
    <t xml:space="preserve">CRONOPLE</t>
  </si>
  <si>
    <t xml:space="preserve">Acrescentado o quadro "Cronograma" com percentual e valor da parcela e percentual e valor acumulado.</t>
  </si>
  <si>
    <t xml:space="preserve">Correção na fórmula da data, para replicar a “Data de fechamento do RRE” na aba DADOS.</t>
  </si>
  <si>
    <t xml:space="preserve">OFÍCIO</t>
  </si>
  <si>
    <t xml:space="preserve">Exclusão do quadro "Resumo de Valores por CTEF".</t>
  </si>
  <si>
    <t xml:space="preserve">V3.08</t>
  </si>
  <si>
    <t xml:space="preserve">Incluídos alertas de erro de preenchimento em todas as abas.</t>
  </si>
  <si>
    <t xml:space="preserve">Incluído botão de macro para gerar arquivo (em xlsx) para upload da PO e CFF no TransfereGOV.</t>
  </si>
  <si>
    <t xml:space="preserve">Ajustada a macro "Importar de outra Planilha Múltipla" para importar o Cronograma da aba CRONO. Também foram incluídas as importações dos campos: Data do preenchimento (DADOS), Data de fechamento do RRE (DADOS); nº da 1ª Parcela do Cronograma (CRONO), mês da 1ª Parcela do Cronograma (CRONO), nº da Medição (BM) e nº da Medição (PLE).</t>
  </si>
  <si>
    <t xml:space="preserve">Incluída a informação do progresso na macro "Importar de outra Planilha Múltipla", por meio de uma barra de progresso (janela que será exibida na tela) e da indicação das etapas de importação na barra de status do Excel (canto inferior esquerdo da janela do Excel).</t>
  </si>
  <si>
    <t xml:space="preserve">Incluídos botões de navegação para os formulários de BDI (BDI 1, BDI 2, BDI 3).</t>
  </si>
  <si>
    <t xml:space="preserve">Incluído botão de macro para padronizar as siglas de unidades, conforme lista de siglas válidas no TransfereGOV.</t>
  </si>
  <si>
    <t xml:space="preserve">O Título de Evento "Administração Local" com preenchimento automático proporcional agora é exibido apenas no modo Arredondamento de Frentes "Tradicional" e para a opção Agrupadores de Eventos "Definir Manualmente".</t>
  </si>
  <si>
    <t xml:space="preserve">Não é mais possível deixar Eventos em branco (sem nome ou sem valor).</t>
  </si>
  <si>
    <t xml:space="preserve">Não é mais possível deixar Frentes de Obra em branco (sem nome ou sem quantidades).</t>
  </si>
  <si>
    <t xml:space="preserve">Incluído campo para selecionar o Título do Evento referente à Administração Local (acompanhamento por PLE).</t>
  </si>
  <si>
    <t xml:space="preserve">Incluída linha com o percentual acumulado da Administração Local em cada período.</t>
  </si>
  <si>
    <t xml:space="preserve">CRONO</t>
  </si>
  <si>
    <t xml:space="preserve">Ajustada a fórmula do % acumulado a partir da parcela 13 (para manter o padrão da fórmula das parcelas 1 a 12).</t>
  </si>
  <si>
    <t xml:space="preserve">Incluído campo para selecionar o Macrosserviço referente à Administração Local (acompanhamento por BM).</t>
  </si>
  <si>
    <t xml:space="preserve">Incluída linha com o percentual acumulado da Administração Local em cada parcela.</t>
  </si>
  <si>
    <t xml:space="preserve">Corrigida a fórmula do % no quadro "Percentual previsto em:". Que estava limitada a buscar o % previsto até a parcela 12.</t>
  </si>
  <si>
    <t xml:space="preserve">PLE</t>
  </si>
  <si>
    <t xml:space="preserve">Incluída linha com o percentual acumulado da Administração Local em cada medição.</t>
  </si>
  <si>
    <t xml:space="preserve">BM</t>
  </si>
  <si>
    <t xml:space="preserve">Incluído campo com o percentual medido acumulado da Administração Local.</t>
  </si>
  <si>
    <t xml:space="preserve">V3.09</t>
  </si>
  <si>
    <t xml:space="preserve">Atualizada a macro "Gerar arquivo para upload no TransfereGOV" para ajustar os códigos de composições SINAPI (acrescentar zeros a esquerda até completar dez dígitos) para Data base igual ou superior a JAN/2025.</t>
  </si>
  <si>
    <t xml:space="preserve">Acrescentada formatação condicional na coluna "Descrição" para exibir os textos de alerta de erro, textos que começam com "(", na cor vermelha.</t>
  </si>
  <si>
    <t xml:space="preserve">Corrigida a macro dos botões de navegação para os formulários do BDI.</t>
  </si>
  <si>
    <t xml:space="preserve">V3.10</t>
  </si>
  <si>
    <t xml:space="preserve">Corrigidas as fórmulas da v3.08 / v3.09 que eram incompatíveis com as versões do Excel anteriores ao Office 365.</t>
  </si>
  <si>
    <t xml:space="preserve">V3.11</t>
  </si>
  <si>
    <t xml:space="preserve">Ajuste na macro "Importar de outra Planilha Múltipla" para tratar o erro "tipos incompatíveis".</t>
  </si>
  <si>
    <t xml:space="preserve">Ajuste na macro "Gerar arquivo para upload no TransfereGOV" para informar no status o número da linha que está sendo mesclada.</t>
  </si>
  <si>
    <t xml:space="preserve">Correção nas fórmulas dos valores no período da 13ª parcela do cronograma.</t>
  </si>
  <si>
    <t xml:space="preserve">Correção nas fórmulas dos valores acumulados no caso de Administração Local de preenchimento manual.</t>
  </si>
  <si>
    <t xml:space="preserve">V3.12</t>
  </si>
  <si>
    <t xml:space="preserve">Atualização na macro "Gerar arquivo para upload no TransfereGOV" em virtude de alteração no upload no TransfereGOV (código sem zeros a esquerda).</t>
  </si>
  <si>
    <t xml:space="preserve">Revisão nos alertas de erro de preenchimento.</t>
  </si>
  <si>
    <t xml:space="preserve">Revisão na lista suspensa de opções da forma de definição dos agrupadores de eventos.</t>
  </si>
  <si>
    <t xml:space="preserve">Correção na macro "Atualizar Linhas".</t>
  </si>
  <si>
    <t xml:space="preserve">Correção na fórmula dos porcentuais de Administração Local, no caso de agrupadores de eventos automáticos.</t>
  </si>
  <si>
    <t xml:space="preserve">V3.13</t>
  </si>
  <si>
    <t xml:space="preserve">Ajuste em todas as listas suspensas (substituindo valores ou textos por um intervalo com os dados).</t>
  </si>
  <si>
    <t xml:space="preserve">Correção do valor total na macro "Gerar arquivo para upload no TransfereGOV". No arquivo para upload o valor total era preenchido apenas com o valor da meta 1.</t>
  </si>
  <si>
    <t xml:space="preserve">Correção nos arredondamentos na macro "Gerar arquivo para upload no TransfereGOV". No caso de preenchimento das quantidades com mais de duas casas decimais na PLQ, os valores calculados no Tgov ficavam diferentes dos valores calculados na Múltipla.</t>
  </si>
  <si>
    <t xml:space="preserve">Atualização na macro "Gerar arquivo para upload no TransfereGOV". No caso de alertas de erro de preenchimento nas abas BDI e ORÇAMENTO a caixa de mensagem informa o erro encontrado e pergunta ao usuário se quer "Corrigir o erro agora?", caso o usuário responda "Não" a macro continua os procedimentos e gera o arquivo com o erro de preenchimento.</t>
  </si>
  <si>
    <t xml:space="preserve">Atualização no preenchimento da coluna BDI. Possibilidade de preencher diretamente um percentual na célula.</t>
  </si>
  <si>
    <t xml:space="preserve">Ajuste no alerta de erro "Acima Ref.", dispensado caso a Fonte de Recursos seja diferente de "OGU".</t>
  </si>
  <si>
    <t xml:space="preserve">Incluído alerta de erro caso a data base do arquivo referência seja diferente da indicada no nome do mesmo arquivo.</t>
  </si>
  <si>
    <t xml:space="preserve">Incluído alerta de erro caso os arredondamentos de todos os valores não estejam selecionados (para contratos no transferegov).</t>
  </si>
  <si>
    <t xml:space="preserve">Incluído alerta de erro "Justificar BDI", caso não seja adotado um BDI da lista suspensa.</t>
  </si>
  <si>
    <t xml:space="preserve">Incluído alerta de erro "Verificar as quantidades preenchidas na linha...", caso a soma das quantidades preenchidas seja diferente da soma das quantidades arredondadas com duas casas decimais.</t>
  </si>
  <si>
    <t xml:space="preserve">Incluído alerta de erro "Preencha as quantidades com no máximo duas casas decimais", caso o alerta de erro acima aparece em alguma linha.</t>
  </si>
  <si>
    <t xml:space="preserve">Incluída formatação condicional para indicar as quantidades na PLQ com mais de duas casas decimais (o texto ficará na cor vermelha).</t>
  </si>
  <si>
    <t xml:space="preserve">Correção na fórmula na coluna Filtro.</t>
  </si>
  <si>
    <t xml:space="preserve">Correção nas fórmulas dos valores acumulados (o valor da administração local era duplicado em alguns casos).</t>
  </si>
  <si>
    <t xml:space="preserve">V3.14</t>
  </si>
  <si>
    <t xml:space="preserve">Ajustes em algumas fórmulas que eram incompatíveis com as versões do Excel anteriores ao Office 365.</t>
  </si>
  <si>
    <t xml:space="preserve">Ajuste na macro "Gerar arquivo para upload no TransfereGOV". Excluído o procedimento de mesclagem de células, visando a eficiência da macro.</t>
  </si>
  <si>
    <t xml:space="preserve">Inclusão do botão [RESET]. Para resetar a Planilha Múltipla (apagar todos os dados preenchidos e restaurar o padrão inicial).</t>
  </si>
  <si>
    <t xml:space="preserve">V3.15</t>
  </si>
  <si>
    <t xml:space="preserve">Ajuste na fórmula da coluna "Descrição" para corrigir incompatibilidade com as versões do Excel anteriores ao Office 365.</t>
  </si>
  <si>
    <t xml:space="preserve">V3.16</t>
  </si>
  <si>
    <t xml:space="preserve">Corrigidas as fórmulas da descrição dos itens dos BDIs 2 e 3.</t>
  </si>
  <si>
    <t xml:space="preserve">PM</t>
  </si>
  <si>
    <t xml:space="preserve">v3.16</t>
  </si>
  <si>
    <t xml:space="preserve">Proposto</t>
  </si>
  <si>
    <t xml:space="preserve">DADOS DO CONTRATO</t>
  </si>
  <si>
    <t xml:space="preserve">NOVIDADES DA VERSÃO</t>
  </si>
  <si>
    <t xml:space="preserve">Licitado</t>
  </si>
  <si>
    <t xml:space="preserve">LEGENDA:</t>
  </si>
  <si>
    <r>
      <rPr>
        <sz val="10"/>
        <rFont val="Arial"/>
        <family val="2"/>
        <charset val="1"/>
      </rPr>
      <t xml:space="preserve">Cores das </t>
    </r>
    <r>
      <rPr>
        <b val="true"/>
        <sz val="10"/>
        <rFont val="Arial"/>
        <family val="2"/>
        <charset val="1"/>
      </rPr>
      <t xml:space="preserve">células</t>
    </r>
    <r>
      <rPr>
        <sz val="10"/>
        <rFont val="Arial"/>
        <family val="2"/>
        <charset val="1"/>
      </rPr>
      <t xml:space="preserve">:</t>
    </r>
  </si>
  <si>
    <t xml:space="preserve">Fundo amarelo: células para preencher</t>
  </si>
  <si>
    <t xml:space="preserve">Fundo azul: células para seleção de opções</t>
  </si>
  <si>
    <r>
      <rPr>
        <sz val="10"/>
        <rFont val="Arial"/>
        <family val="2"/>
        <charset val="1"/>
      </rPr>
      <t xml:space="preserve">Cores dos </t>
    </r>
    <r>
      <rPr>
        <b val="true"/>
        <sz val="10"/>
        <rFont val="Arial"/>
        <family val="2"/>
        <charset val="1"/>
      </rPr>
      <t xml:space="preserve">botões</t>
    </r>
    <r>
      <rPr>
        <sz val="10"/>
        <rFont val="Arial"/>
        <family val="2"/>
        <charset val="1"/>
      </rPr>
      <t xml:space="preserve">:</t>
    </r>
  </si>
  <si>
    <t xml:space="preserve">Fundo azul claro: navegação entre abas</t>
  </si>
  <si>
    <t xml:space="preserve">Fundo laranja: execução de macro</t>
  </si>
  <si>
    <t xml:space="preserve">A. DOCUMENTAÇÃO DA PROPOSTA</t>
  </si>
  <si>
    <t xml:space="preserve">Fonte de recursos:</t>
  </si>
  <si>
    <t xml:space="preserve">Regime previdenciário</t>
  </si>
  <si>
    <t xml:space="preserve">Regime de Execução</t>
  </si>
  <si>
    <t xml:space="preserve">Arredondamento</t>
  </si>
  <si>
    <t xml:space="preserve">Sub-Itens de Investimento</t>
  </si>
  <si>
    <t xml:space="preserve">Unidades válidas no Tgov</t>
  </si>
  <si>
    <t xml:space="preserve">(SELECIONAR)</t>
  </si>
  <si>
    <t xml:space="preserve">Tradicional</t>
  </si>
  <si>
    <t xml:space="preserve">Itens de Investimento</t>
  </si>
  <si>
    <t xml:space="preserve">Unidades habitacionais</t>
  </si>
  <si>
    <t xml:space="preserve">Equipamentos comunitários</t>
  </si>
  <si>
    <t xml:space="preserve">Pavimentação</t>
  </si>
  <si>
    <t xml:space="preserve">Drenagem </t>
  </si>
  <si>
    <t xml:space="preserve">Abastecimento de água</t>
  </si>
  <si>
    <t xml:space="preserve">Esgotamento sanitário</t>
  </si>
  <si>
    <t xml:space="preserve">Energia elétrica e iluminação pública</t>
  </si>
  <si>
    <t xml:space="preserve">Coleta e tratamento de resíduos sólidos</t>
  </si>
  <si>
    <t xml:space="preserve">Contenção e estabilização de encostas </t>
  </si>
  <si>
    <t xml:space="preserve">Regularização fundiária</t>
  </si>
  <si>
    <t xml:space="preserve">Aquisição de terreno</t>
  </si>
  <si>
    <t xml:space="preserve">Aquisição de equipamentos e insumos</t>
  </si>
  <si>
    <t xml:space="preserve">Elaboração de estudos e projetos</t>
  </si>
  <si>
    <t xml:space="preserve">Instrumentos e ações em planejamento e gestão pública</t>
  </si>
  <si>
    <t xml:space="preserve">Ações complementares às obras</t>
  </si>
  <si>
    <t xml:space="preserve">Gerenciamento</t>
  </si>
  <si>
    <t xml:space="preserve">Trabalho social</t>
  </si>
  <si>
    <t xml:space="preserve">Sigla</t>
  </si>
  <si>
    <t xml:space="preserve">Descrição</t>
  </si>
  <si>
    <t xml:space="preserve">Dados do Contrato (Inicial)</t>
  </si>
  <si>
    <t xml:space="preserve">OGU</t>
  </si>
  <si>
    <t xml:space="preserve">NÃO SE APLICA</t>
  </si>
  <si>
    <t xml:space="preserve">INDEFINIDO / NÃO SE APLICA</t>
  </si>
  <si>
    <t xml:space="preserve">TransfereGOV</t>
  </si>
  <si>
    <t xml:space="preserve">Aquisição</t>
  </si>
  <si>
    <t xml:space="preserve">un</t>
  </si>
  <si>
    <t xml:space="preserve">Convivência comunitária, assistência social e/ou comunitária</t>
  </si>
  <si>
    <t xml:space="preserve">m²</t>
  </si>
  <si>
    <t xml:space="preserve">Capeamento de vias</t>
  </si>
  <si>
    <t xml:space="preserve">Obras de microdrenagem </t>
  </si>
  <si>
    <t xml:space="preserve">m</t>
  </si>
  <si>
    <t xml:space="preserve">Captação subterrânea</t>
  </si>
  <si>
    <t xml:space="preserve">m³/s</t>
  </si>
  <si>
    <t xml:space="preserve">Ligações domiciliares e/ou intradomiciliares</t>
  </si>
  <si>
    <t xml:space="preserve">Iluminação pública - luminárias</t>
  </si>
  <si>
    <t xml:space="preserve">Acondicionamento </t>
  </si>
  <si>
    <t xml:space="preserve">Estabilização de taludes</t>
  </si>
  <si>
    <t xml:space="preserve">Desapropriacões/Indenizações</t>
  </si>
  <si>
    <t xml:space="preserve">Avaliação pós intervenção</t>
  </si>
  <si>
    <t xml:space="preserve">%CT</t>
  </si>
  <si>
    <t xml:space="preserve">Projeto de Trabalho Social Preliminar</t>
  </si>
  <si>
    <t xml:space="preserve">nº fam</t>
  </si>
  <si>
    <t xml:space="preserve">FGTS</t>
  </si>
  <si>
    <t xml:space="preserve">DESONERADO</t>
  </si>
  <si>
    <t xml:space="preserve">EMPREITADA POR PREÇO GLOBAL</t>
  </si>
  <si>
    <t xml:space="preserve">Construção</t>
  </si>
  <si>
    <t xml:space="preserve">Educação e cultura</t>
  </si>
  <si>
    <t xml:space="preserve">Recapeamento de vias</t>
  </si>
  <si>
    <t xml:space="preserve">Desassoreamento de cursos de água</t>
  </si>
  <si>
    <t xml:space="preserve">Captação superficial</t>
  </si>
  <si>
    <t xml:space="preserve">Rede coletora e/ou condominial</t>
  </si>
  <si>
    <t xml:space="preserve">Ligações domiciliares</t>
  </si>
  <si>
    <t xml:space="preserve">Aterro sanitário e/ou disposição final</t>
  </si>
  <si>
    <t xml:space="preserve">m³</t>
  </si>
  <si>
    <t xml:space="preserve">Obras complementares a ações de redução de risco e/ou contenções</t>
  </si>
  <si>
    <t xml:space="preserve">Projeto de Regularização Fundiária</t>
  </si>
  <si>
    <t xml:space="preserve">Benfeitorias</t>
  </si>
  <si>
    <t xml:space="preserve">Demolições</t>
  </si>
  <si>
    <t xml:space="preserve">Projeto de Trabalho Social</t>
  </si>
  <si>
    <t xml:space="preserve">°C</t>
  </si>
  <si>
    <t xml:space="preserve">GRAU CELSIUS</t>
  </si>
  <si>
    <t xml:space="preserve">Proponente/Tomador:</t>
  </si>
  <si>
    <t xml:space="preserve">PREFEITURA MUNICIPAL DE TRAMANDAI</t>
  </si>
  <si>
    <t xml:space="preserve">NÃO DESONERADO</t>
  </si>
  <si>
    <t xml:space="preserve">EMPREITADA POR PREÇO UNITÁRIO</t>
  </si>
  <si>
    <t xml:space="preserve">Reforma e/ou melhoria</t>
  </si>
  <si>
    <t xml:space="preserve">Esportes</t>
  </si>
  <si>
    <t xml:space="preserve">Obras de artes especiais</t>
  </si>
  <si>
    <t xml:space="preserve">Canalização de cursos de água</t>
  </si>
  <si>
    <t xml:space="preserve">Estação de bombeamento de água bruta</t>
  </si>
  <si>
    <t xml:space="preserve">Coletor tronco e/ou interceptores</t>
  </si>
  <si>
    <t xml:space="preserve">Linhas de distribuição - baixa tensão </t>
  </si>
  <si>
    <t xml:space="preserve">Erradicação de lixões</t>
  </si>
  <si>
    <t xml:space="preserve">Plano de Reassentamento e medidas compensatórias</t>
  </si>
  <si>
    <t xml:space="preserve">Plano de Desenvolvimento Socioterritorial</t>
  </si>
  <si>
    <t xml:space="preserve">°F</t>
  </si>
  <si>
    <t xml:space="preserve">GRAU FAHRENHEIT</t>
  </si>
  <si>
    <t xml:space="preserve">Município/UF:</t>
  </si>
  <si>
    <t xml:space="preserve">TRAMANDAI/RS</t>
  </si>
  <si>
    <t xml:space="preserve">EMPREITADA INTEGRAL</t>
  </si>
  <si>
    <t xml:space="preserve">Lazer e turismo</t>
  </si>
  <si>
    <t xml:space="preserve">Pavimentação de calçadas</t>
  </si>
  <si>
    <t xml:space="preserve">Recomposição de vegetação ciliar, renaturalização de cursos de água ou restauração de margens</t>
  </si>
  <si>
    <t xml:space="preserve">Adução</t>
  </si>
  <si>
    <t xml:space="preserve">Emissário</t>
  </si>
  <si>
    <t xml:space="preserve">Linhas de transmissão - alta tensão </t>
  </si>
  <si>
    <t xml:space="preserve">Sistema de coleta seletiva tradicional, transporte e/ou equipamentos</t>
  </si>
  <si>
    <t xml:space="preserve">Plano de Gestão Condominial</t>
  </si>
  <si>
    <t xml:space="preserve">100M</t>
  </si>
  <si>
    <t xml:space="preserve">100 METROS</t>
  </si>
  <si>
    <t xml:space="preserve">Nº da Operação (0000000-00):</t>
  </si>
  <si>
    <t xml:space="preserve">TAREFA</t>
  </si>
  <si>
    <t xml:space="preserve">Saúde</t>
  </si>
  <si>
    <t xml:space="preserve">Pavimentação de vias</t>
  </si>
  <si>
    <t xml:space="preserve">Reservatório de amortecimento de cheias</t>
  </si>
  <si>
    <t xml:space="preserve">Estação de Tratamento de Água (ETA)</t>
  </si>
  <si>
    <t xml:space="preserve">Estação Elevatória</t>
  </si>
  <si>
    <t xml:space="preserve">Tratamento local </t>
  </si>
  <si>
    <t xml:space="preserve">18L</t>
  </si>
  <si>
    <t xml:space="preserve">18 LITROS</t>
  </si>
  <si>
    <t xml:space="preserve">Nº do TransfereGOV (000000):</t>
  </si>
  <si>
    <t xml:space="preserve">CONTRATAÇÃO INTEGRADA</t>
  </si>
  <si>
    <t xml:space="preserve">Segurança pública</t>
  </si>
  <si>
    <t xml:space="preserve">Sinalização</t>
  </si>
  <si>
    <t xml:space="preserve">Estação de Bombeamento</t>
  </si>
  <si>
    <t xml:space="preserve">Estação de bombeamento de água tratada</t>
  </si>
  <si>
    <t xml:space="preserve">Estação de Tratamento de Esgoto (ETE)</t>
  </si>
  <si>
    <t xml:space="preserve">Usinas de reciclagem </t>
  </si>
  <si>
    <t xml:space="preserve">200KG</t>
  </si>
  <si>
    <t xml:space="preserve">200 QUILOS</t>
  </si>
  <si>
    <t xml:space="preserve">ADM. DIRETA</t>
  </si>
  <si>
    <t xml:space="preserve">Linha de recalque</t>
  </si>
  <si>
    <t xml:space="preserve">Sistema simplificado de tratamento</t>
  </si>
  <si>
    <t xml:space="preserve">250G</t>
  </si>
  <si>
    <t xml:space="preserve">250 GRAMAS</t>
  </si>
  <si>
    <t xml:space="preserve">Valor de Contrapartida Contratada (R$):</t>
  </si>
  <si>
    <t xml:space="preserve">Reservação</t>
  </si>
  <si>
    <t xml:space="preserve">Unidades sanitárias</t>
  </si>
  <si>
    <t xml:space="preserve">310ML</t>
  </si>
  <si>
    <t xml:space="preserve">310 MILILITROS</t>
  </si>
  <si>
    <t xml:space="preserve">% mínimo de Contrapartida:</t>
  </si>
  <si>
    <t xml:space="preserve">Rede de distribuição</t>
  </si>
  <si>
    <t xml:space="preserve">50KG</t>
  </si>
  <si>
    <t xml:space="preserve">50 QUILOS</t>
  </si>
  <si>
    <t xml:space="preserve">R$ mínimo de Contrapartida (se houver):</t>
  </si>
  <si>
    <t xml:space="preserve">A</t>
  </si>
  <si>
    <t xml:space="preserve">AMPÈRE</t>
  </si>
  <si>
    <t xml:space="preserve">% máximo de Contrapartida:</t>
  </si>
  <si>
    <t xml:space="preserve">Sistema simplificado de abastecimento</t>
  </si>
  <si>
    <t xml:space="preserve">ACA/ACC</t>
  </si>
  <si>
    <t xml:space="preserve">A.CORR.ALTERN/CONT.</t>
  </si>
  <si>
    <t xml:space="preserve">AH</t>
  </si>
  <si>
    <t xml:space="preserve">AMPÈRE HORA</t>
  </si>
  <si>
    <t xml:space="preserve">Dados do Empreendimento e Orçamento</t>
  </si>
  <si>
    <t xml:space="preserve">AH/H/V</t>
  </si>
  <si>
    <t xml:space="preserve">AMPÉRE-H/H/VOLT</t>
  </si>
  <si>
    <t xml:space="preserve">Nome/apelido:</t>
  </si>
  <si>
    <t xml:space="preserve">REVITALAIZAÇÃO DA ORLA DA BEIRA RIO</t>
  </si>
  <si>
    <t xml:space="preserve">AM</t>
  </si>
  <si>
    <t xml:space="preserve">AMPOLA</t>
  </si>
  <si>
    <t xml:space="preserve">Descrição do Objeto do Lote / CTEF:</t>
  </si>
  <si>
    <t xml:space="preserve">AM0/4ML</t>
  </si>
  <si>
    <t xml:space="preserve">AMPOLA COM 0,4 Ml</t>
  </si>
  <si>
    <t xml:space="preserve">Regime previdenciário previsto para a obra:</t>
  </si>
  <si>
    <t xml:space="preserve">AM0/5ML</t>
  </si>
  <si>
    <t xml:space="preserve">AMPOLA COM 0,5 mL</t>
  </si>
  <si>
    <t xml:space="preserve">Data base do Orçamento:</t>
  </si>
  <si>
    <t xml:space="preserve">AM1/5ML</t>
  </si>
  <si>
    <t xml:space="preserve">AMPOLA COM 1,5 mL</t>
  </si>
  <si>
    <t xml:space="preserve">AM10ML</t>
  </si>
  <si>
    <t xml:space="preserve">AMPOLA COM 10 mL</t>
  </si>
  <si>
    <t xml:space="preserve">Responsável pelo Orçamento</t>
  </si>
  <si>
    <t xml:space="preserve">AM1ML</t>
  </si>
  <si>
    <t xml:space="preserve">AMPOLA COM 1 mL</t>
  </si>
  <si>
    <t xml:space="preserve">Nome:</t>
  </si>
  <si>
    <t xml:space="preserve">Jaqueline Ferreira / Marcio R. Maciel</t>
  </si>
  <si>
    <t xml:space="preserve">AM2/5ML</t>
  </si>
  <si>
    <t xml:space="preserve">AMPOLA COM 2,5 mL</t>
  </si>
  <si>
    <t xml:space="preserve">CREA/CAU:</t>
  </si>
  <si>
    <t xml:space="preserve"> CAU A152414-3  / CREA RS236197</t>
  </si>
  <si>
    <t xml:space="preserve">AM2ML</t>
  </si>
  <si>
    <t xml:space="preserve">AMPOLA COM 2 mL</t>
  </si>
  <si>
    <t xml:space="preserve">ART/RRT:</t>
  </si>
  <si>
    <t xml:space="preserve">AM3ML</t>
  </si>
  <si>
    <t xml:space="preserve">AMPOLA COM 3 mL</t>
  </si>
  <si>
    <t xml:space="preserve">Data do preenchimento:</t>
  </si>
  <si>
    <t xml:space="preserve">AM4ML</t>
  </si>
  <si>
    <t xml:space="preserve">AMPOLA COM 4 mL</t>
  </si>
  <si>
    <t xml:space="preserve">AM5ML</t>
  </si>
  <si>
    <t xml:space="preserve">AMPOLA COM 5 mL</t>
  </si>
  <si>
    <t xml:space="preserve">Responsável pelo Tomador (Prefeito, no caso de Municípios)</t>
  </si>
  <si>
    <t xml:space="preserve">AM6ML</t>
  </si>
  <si>
    <t xml:space="preserve">AMPOLA COM 6 mL</t>
  </si>
  <si>
    <t xml:space="preserve">JUAREZ MARQUES DA SILVA</t>
  </si>
  <si>
    <t xml:space="preserve">AM7ML</t>
  </si>
  <si>
    <t xml:space="preserve">AMPOLA COM 7 mL</t>
  </si>
  <si>
    <t xml:space="preserve">Cargo:</t>
  </si>
  <si>
    <t xml:space="preserve">PREFEITO MUNICIPAL</t>
  </si>
  <si>
    <t xml:space="preserve">ANO</t>
  </si>
  <si>
    <t xml:space="preserve">ANO/ANOS</t>
  </si>
  <si>
    <t xml:space="preserve">ANOS</t>
  </si>
  <si>
    <t xml:space="preserve">Arredondamento das frentes:</t>
  </si>
  <si>
    <t xml:space="preserve">ARR</t>
  </si>
  <si>
    <t xml:space="preserve">ARROBA</t>
  </si>
  <si>
    <t xml:space="preserve">AWG</t>
  </si>
  <si>
    <t xml:space="preserve">AMERICAN WIRE GAUGE</t>
  </si>
  <si>
    <t xml:space="preserve">B. RESULTADO DO PROCESSO LICITATÓRIO</t>
  </si>
  <si>
    <t xml:space="preserve">BAR</t>
  </si>
  <si>
    <t xml:space="preserve">BARRIL</t>
  </si>
  <si>
    <t xml:space="preserve">BAR.</t>
  </si>
  <si>
    <t xml:space="preserve">Licitação</t>
  </si>
  <si>
    <t xml:space="preserve">BD</t>
  </si>
  <si>
    <t xml:space="preserve">BALDE</t>
  </si>
  <si>
    <t xml:space="preserve">Data de emissão dos documentos de licitação:</t>
  </si>
  <si>
    <t xml:space="preserve">BIS</t>
  </si>
  <si>
    <t xml:space="preserve">BISNAGA</t>
  </si>
  <si>
    <t xml:space="preserve">Nº do CTEF (contrato com empresa):</t>
  </si>
  <si>
    <t xml:space="preserve">BIS/GL</t>
  </si>
  <si>
    <t xml:space="preserve">BISNAGA POR GALÃO</t>
  </si>
  <si>
    <t xml:space="preserve">Nome da empresa:</t>
  </si>
  <si>
    <t xml:space="preserve">BIS1/65G</t>
  </si>
  <si>
    <t xml:space="preserve">BISNAGA COM 1,65 g</t>
  </si>
  <si>
    <t xml:space="preserve">CNPJ da empresa:</t>
  </si>
  <si>
    <t xml:space="preserve">BIS1/8G</t>
  </si>
  <si>
    <t xml:space="preserve">BISNAGA COM 1,8 g</t>
  </si>
  <si>
    <t xml:space="preserve">Regime de execução do CTEF:</t>
  </si>
  <si>
    <t xml:space="preserve">BIS100G</t>
  </si>
  <si>
    <t xml:space="preserve">BISNAGA COM 100 g</t>
  </si>
  <si>
    <t xml:space="preserve">Data base do CTEF:</t>
  </si>
  <si>
    <t xml:space="preserve">BIS10G</t>
  </si>
  <si>
    <t xml:space="preserve">BISNAGA COM 10 g</t>
  </si>
  <si>
    <t xml:space="preserve">BIS135G</t>
  </si>
  <si>
    <t xml:space="preserve">BISNAGA COM 135 g</t>
  </si>
  <si>
    <t xml:space="preserve">BIS13G</t>
  </si>
  <si>
    <t xml:space="preserve">BISNAGA COM 13 g</t>
  </si>
  <si>
    <t xml:space="preserve">C. ACOMPANHAMENTO DO EMPREENDIMENTO</t>
  </si>
  <si>
    <t xml:space="preserve">BIS14G</t>
  </si>
  <si>
    <t xml:space="preserve">BISNAGA COM 14 g</t>
  </si>
  <si>
    <t xml:space="preserve">BIS15G</t>
  </si>
  <si>
    <t xml:space="preserve">BISNAGA COM 15 g</t>
  </si>
  <si>
    <t xml:space="preserve">Dados da obra</t>
  </si>
  <si>
    <t xml:space="preserve">BIS1G</t>
  </si>
  <si>
    <t xml:space="preserve">BISNAGA COM 1 g</t>
  </si>
  <si>
    <t xml:space="preserve">Data do Início da Obra:</t>
  </si>
  <si>
    <t xml:space="preserve">BIS20G</t>
  </si>
  <si>
    <t xml:space="preserve">BISNAGA COM 20 g</t>
  </si>
  <si>
    <t xml:space="preserve">Data de fechamento do RRE:</t>
  </si>
  <si>
    <t xml:space="preserve">BIS25G</t>
  </si>
  <si>
    <t xml:space="preserve">BISNAGA COM 25 g</t>
  </si>
  <si>
    <t xml:space="preserve">BIS28/8G</t>
  </si>
  <si>
    <t xml:space="preserve">BISNAGA COM 28,8 g</t>
  </si>
  <si>
    <t xml:space="preserve">Responsável pela Fiscalização</t>
  </si>
  <si>
    <t xml:space="preserve">BIS28G</t>
  </si>
  <si>
    <t xml:space="preserve">BISNAGA COM 28 g</t>
  </si>
  <si>
    <t xml:space="preserve">BIS2G</t>
  </si>
  <si>
    <t xml:space="preserve">BISNAGA COM 2 g</t>
  </si>
  <si>
    <t xml:space="preserve">Profissão:</t>
  </si>
  <si>
    <t xml:space="preserve">BIS3/5G</t>
  </si>
  <si>
    <t xml:space="preserve">BISNAGA COM 3,5 g</t>
  </si>
  <si>
    <t xml:space="preserve">CREA/CAU (para obras/projetos):</t>
  </si>
  <si>
    <t xml:space="preserve">BIS30G</t>
  </si>
  <si>
    <t xml:space="preserve">BISNAGA COM 30 g</t>
  </si>
  <si>
    <t xml:space="preserve">ART/RRT (para obras/projetos):</t>
  </si>
  <si>
    <t xml:space="preserve">BIS30ML</t>
  </si>
  <si>
    <t xml:space="preserve">BISNAGA COM 30 mL</t>
  </si>
  <si>
    <t xml:space="preserve">BIS40G</t>
  </si>
  <si>
    <t xml:space="preserve">BISNAGA COM 40 g</t>
  </si>
  <si>
    <t xml:space="preserve">BIS43G</t>
  </si>
  <si>
    <t xml:space="preserve">BISNAGA COM 43 g</t>
  </si>
  <si>
    <t xml:space="preserve">D. ACOMPANHAMENTO CAIXA</t>
  </si>
  <si>
    <t xml:space="preserve">BIS45G</t>
  </si>
  <si>
    <t xml:space="preserve">BISNAGA COM 45 g</t>
  </si>
  <si>
    <t xml:space="preserve">BIS47G</t>
  </si>
  <si>
    <t xml:space="preserve">BISNAGA COM 47 g</t>
  </si>
  <si>
    <t xml:space="preserve">Responsável Gerencial</t>
  </si>
  <si>
    <t xml:space="preserve">BIS4G</t>
  </si>
  <si>
    <t xml:space="preserve">BISNAGA COM 4 g</t>
  </si>
  <si>
    <t xml:space="preserve">BIS50G</t>
  </si>
  <si>
    <t xml:space="preserve">BISNAGA COM 50 g</t>
  </si>
  <si>
    <t xml:space="preserve">Função:</t>
  </si>
  <si>
    <t xml:space="preserve">BIS55G</t>
  </si>
  <si>
    <t xml:space="preserve">BISNAGA COM 55 g</t>
  </si>
  <si>
    <t xml:space="preserve">BIS56G</t>
  </si>
  <si>
    <t xml:space="preserve">BISNAGA COM 56 g</t>
  </si>
  <si>
    <t xml:space="preserve">BIS5G</t>
  </si>
  <si>
    <t xml:space="preserve">BISNAGA COM 5 g</t>
  </si>
  <si>
    <t xml:space="preserve">BIS60G</t>
  </si>
  <si>
    <t xml:space="preserve">BISNAGA COM 60 g</t>
  </si>
  <si>
    <t xml:space="preserve">BIS6G</t>
  </si>
  <si>
    <t xml:space="preserve">BISNAGA COM 6 g</t>
  </si>
  <si>
    <t xml:space="preserve">BIS7/5G</t>
  </si>
  <si>
    <t xml:space="preserve">BISNAGA COM 7,5 g</t>
  </si>
  <si>
    <t xml:space="preserve">BIS70G</t>
  </si>
  <si>
    <t xml:space="preserve">BISNAGA COM 70 g</t>
  </si>
  <si>
    <t xml:space="preserve">BIS80G</t>
  </si>
  <si>
    <t xml:space="preserve">BISNAGA COM 80 g</t>
  </si>
  <si>
    <t xml:space="preserve">BIS90G</t>
  </si>
  <si>
    <t xml:space="preserve">BISNAGA COM 90 g</t>
  </si>
  <si>
    <t xml:space="preserve">BIT</t>
  </si>
  <si>
    <t xml:space="preserve">BITS</t>
  </si>
  <si>
    <t xml:space="preserve">BL</t>
  </si>
  <si>
    <t xml:space="preserve">BLOCO</t>
  </si>
  <si>
    <t xml:space="preserve">BLIS</t>
  </si>
  <si>
    <t xml:space="preserve">BLISTER</t>
  </si>
  <si>
    <t xml:space="preserve">BLIS21CP</t>
  </si>
  <si>
    <t xml:space="preserve">BLISTER COM 21 COMPRIMIDOS</t>
  </si>
  <si>
    <t xml:space="preserve">BLIS35CP</t>
  </si>
  <si>
    <t xml:space="preserve">BLISTER COM 35 COMPRIMIDOS</t>
  </si>
  <si>
    <t xml:space="preserve">BOB</t>
  </si>
  <si>
    <t xml:space="preserve">BOBINA</t>
  </si>
  <si>
    <t xml:space="preserve">BOL</t>
  </si>
  <si>
    <t xml:space="preserve">BOLSA</t>
  </si>
  <si>
    <t xml:space="preserve">BOM</t>
  </si>
  <si>
    <t xml:space="preserve">BOMBONA</t>
  </si>
  <si>
    <t xml:space="preserve">BPM</t>
  </si>
  <si>
    <t xml:space="preserve">BATIDA POR MINUTO</t>
  </si>
  <si>
    <t xml:space="preserve">BPS</t>
  </si>
  <si>
    <t xml:space="preserve">BYTE POR SEGUNDO</t>
  </si>
  <si>
    <t xml:space="preserve">BR</t>
  </si>
  <si>
    <t xml:space="preserve">BARRA</t>
  </si>
  <si>
    <t xml:space="preserve">BRI</t>
  </si>
  <si>
    <t xml:space="preserve">BARRICA</t>
  </si>
  <si>
    <t xml:space="preserve">BTJ</t>
  </si>
  <si>
    <t xml:space="preserve">BOTIJÃO</t>
  </si>
  <si>
    <t xml:space="preserve">BTU</t>
  </si>
  <si>
    <t xml:space="preserve">BRITISH THERMAL UNIT</t>
  </si>
  <si>
    <t xml:space="preserve">BTU/H</t>
  </si>
  <si>
    <t xml:space="preserve">BTU POR HORA</t>
  </si>
  <si>
    <t xml:space="preserve">BWG</t>
  </si>
  <si>
    <t xml:space="preserve">FIEIRA DE BIRMINGHAN</t>
  </si>
  <si>
    <t xml:space="preserve">C</t>
  </si>
  <si>
    <t xml:space="preserve">CENTENA</t>
  </si>
  <si>
    <t xml:space="preserve">CA</t>
  </si>
  <si>
    <t xml:space="preserve">CARTUCHO</t>
  </si>
  <si>
    <t xml:space="preserve">CAD</t>
  </si>
  <si>
    <t xml:space="preserve">CADERNO</t>
  </si>
  <si>
    <t xml:space="preserve">CAL/G</t>
  </si>
  <si>
    <t xml:space="preserve">CALORIA/GRAMA</t>
  </si>
  <si>
    <t xml:space="preserve">CAPS</t>
  </si>
  <si>
    <t xml:space="preserve">CÁPSULA</t>
  </si>
  <si>
    <t xml:space="preserve">CAR</t>
  </si>
  <si>
    <t xml:space="preserve">CARACTER</t>
  </si>
  <si>
    <t xml:space="preserve">CC</t>
  </si>
  <si>
    <t xml:space="preserve">CILINDRADA</t>
  </si>
  <si>
    <t xml:space="preserve">CD</t>
  </si>
  <si>
    <t xml:space="preserve">CANDELA</t>
  </si>
  <si>
    <t xml:space="preserve">CD/M2</t>
  </si>
  <si>
    <t xml:space="preserve">CANDELA/METRO 2</t>
  </si>
  <si>
    <t xml:space="preserve">CENTO</t>
  </si>
  <si>
    <t xml:space="preserve">CG</t>
  </si>
  <si>
    <t xml:space="preserve">CENTIGRAMA</t>
  </si>
  <si>
    <t xml:space="preserve">CH</t>
  </si>
  <si>
    <t xml:space="preserve">CHAPA</t>
  </si>
  <si>
    <t xml:space="preserve">CHI</t>
  </si>
  <si>
    <t xml:space="preserve">CHP</t>
  </si>
  <si>
    <t xml:space="preserve">CI</t>
  </si>
  <si>
    <t xml:space="preserve">CURIE</t>
  </si>
  <si>
    <t xml:space="preserve">CIL</t>
  </si>
  <si>
    <t xml:space="preserve">CILINDRO</t>
  </si>
  <si>
    <t xml:space="preserve">CIN</t>
  </si>
  <si>
    <t xml:space="preserve">CINQUENTA</t>
  </si>
  <si>
    <t xml:space="preserve">CJ</t>
  </si>
  <si>
    <t xml:space="preserve">CONJUNTO</t>
  </si>
  <si>
    <t xml:space="preserve">CL</t>
  </si>
  <si>
    <t xml:space="preserve">CENTILITRO</t>
  </si>
  <si>
    <t xml:space="preserve">CM</t>
  </si>
  <si>
    <t xml:space="preserve">CENTÍMETRO</t>
  </si>
  <si>
    <t xml:space="preserve">CM/POL</t>
  </si>
  <si>
    <t xml:space="preserve">CENTÍMETRO/POLEGADA</t>
  </si>
  <si>
    <t xml:space="preserve">CM2</t>
  </si>
  <si>
    <t xml:space="preserve">CENTIMETRO QUADRADO</t>
  </si>
  <si>
    <t xml:space="preserve">CM2/H</t>
  </si>
  <si>
    <t xml:space="preserve">CENT.QUAD/HORA</t>
  </si>
  <si>
    <t xml:space="preserve">CM2/M</t>
  </si>
  <si>
    <t xml:space="preserve">CENT.QUADRADO/METRO</t>
  </si>
  <si>
    <t xml:space="preserve">CM3</t>
  </si>
  <si>
    <t xml:space="preserve">CENTÍMETRO CÚBICO</t>
  </si>
  <si>
    <t xml:space="preserve">CM³/H</t>
  </si>
  <si>
    <t xml:space="preserve">CENT.CÚBICO POR HORA</t>
  </si>
  <si>
    <t xml:space="preserve">CM³/MIN</t>
  </si>
  <si>
    <t xml:space="preserve">CM³/MINUTO</t>
  </si>
  <si>
    <t xml:space="preserve">CNT</t>
  </si>
  <si>
    <t xml:space="preserve">RECIPIENTE</t>
  </si>
  <si>
    <t xml:space="preserve">CO</t>
  </si>
  <si>
    <t xml:space="preserve">CONTEINER</t>
  </si>
  <si>
    <t xml:space="preserve">COL</t>
  </si>
  <si>
    <t xml:space="preserve">COLEÇÃO</t>
  </si>
  <si>
    <t xml:space="preserve">COMP</t>
  </si>
  <si>
    <t xml:space="preserve">COMPRIMENTO</t>
  </si>
  <si>
    <t xml:space="preserve">COMPR</t>
  </si>
  <si>
    <t xml:space="preserve">COMPRIMIDO</t>
  </si>
  <si>
    <t xml:space="preserve">CÓPIA</t>
  </si>
  <si>
    <t xml:space="preserve">COPO</t>
  </si>
  <si>
    <t xml:space="preserve">CP</t>
  </si>
  <si>
    <t xml:space="preserve">CENTIPOISE</t>
  </si>
  <si>
    <t xml:space="preserve">CPL</t>
  </si>
  <si>
    <t xml:space="preserve">CARACTERES POR LINHA</t>
  </si>
  <si>
    <t xml:space="preserve">CPM</t>
  </si>
  <si>
    <t xml:space="preserve">CÓPIA POR MINUTO</t>
  </si>
  <si>
    <t xml:space="preserve">CPS</t>
  </si>
  <si>
    <t xml:space="preserve">CARACTER POR SEGUNDO</t>
  </si>
  <si>
    <t xml:space="preserve">CRT</t>
  </si>
  <si>
    <t xml:space="preserve">CARRETEL</t>
  </si>
  <si>
    <t xml:space="preserve">CS</t>
  </si>
  <si>
    <t xml:space="preserve">GRADEADO DE JAULA</t>
  </si>
  <si>
    <t xml:space="preserve">CST</t>
  </si>
  <si>
    <t xml:space="preserve">CENTISTOCKS</t>
  </si>
  <si>
    <t xml:space="preserve">CT</t>
  </si>
  <si>
    <t xml:space="preserve">CARTAO</t>
  </si>
  <si>
    <t xml:space="preserve">CTE</t>
  </si>
  <si>
    <t xml:space="preserve">CARTELA</t>
  </si>
  <si>
    <t xml:space="preserve">CV</t>
  </si>
  <si>
    <t xml:space="preserve">CAVALO VAPOR</t>
  </si>
  <si>
    <t xml:space="preserve">CX</t>
  </si>
  <si>
    <t xml:space="preserve">CAIXA</t>
  </si>
  <si>
    <t xml:space="preserve">CX100UN</t>
  </si>
  <si>
    <t xml:space="preserve">CAIXA COM 100 UNIDADES</t>
  </si>
  <si>
    <t xml:space="preserve">CX40UN</t>
  </si>
  <si>
    <t xml:space="preserve">CAIXA COM 40 UNIDADES</t>
  </si>
  <si>
    <t xml:space="preserve">D</t>
  </si>
  <si>
    <t xml:space="preserve">DIA</t>
  </si>
  <si>
    <t xml:space="preserve">DAG</t>
  </si>
  <si>
    <t xml:space="preserve">DECAGRAMA</t>
  </si>
  <si>
    <t xml:space="preserve">DAL</t>
  </si>
  <si>
    <t xml:space="preserve">DECALITRO</t>
  </si>
  <si>
    <t xml:space="preserve">DAM</t>
  </si>
  <si>
    <t xml:space="preserve">DECAMETRO</t>
  </si>
  <si>
    <t xml:space="preserve">DAN</t>
  </si>
  <si>
    <t xml:space="preserve">DECANEWTON</t>
  </si>
  <si>
    <t xml:space="preserve">DB</t>
  </si>
  <si>
    <t xml:space="preserve">DECIBEL</t>
  </si>
  <si>
    <t xml:space="preserve">DBM</t>
  </si>
  <si>
    <t xml:space="preserve">DECIBEL MILIWATT</t>
  </si>
  <si>
    <t xml:space="preserve">DG</t>
  </si>
  <si>
    <t xml:space="preserve">DECIGRAMA</t>
  </si>
  <si>
    <t xml:space="preserve">DGT</t>
  </si>
  <si>
    <t xml:space="preserve">DÍGITO</t>
  </si>
  <si>
    <t xml:space="preserve">DIAS</t>
  </si>
  <si>
    <t xml:space="preserve">DISCO</t>
  </si>
  <si>
    <t xml:space="preserve">DL</t>
  </si>
  <si>
    <t xml:space="preserve">DM</t>
  </si>
  <si>
    <t xml:space="preserve">DECIMETRO</t>
  </si>
  <si>
    <t xml:space="preserve">DM2</t>
  </si>
  <si>
    <t xml:space="preserve">DECIMETRO QUADRADO</t>
  </si>
  <si>
    <t xml:space="preserve">DM3</t>
  </si>
  <si>
    <t xml:space="preserve">DECIMETRO CUBICO</t>
  </si>
  <si>
    <t xml:space="preserve">DOSES</t>
  </si>
  <si>
    <t xml:space="preserve">DPI</t>
  </si>
  <si>
    <t xml:space="preserve">PONTOS DE DEFINIÇÃO</t>
  </si>
  <si>
    <t xml:space="preserve">DPT</t>
  </si>
  <si>
    <t xml:space="preserve">DIOPTRIA</t>
  </si>
  <si>
    <t xml:space="preserve">DRAG</t>
  </si>
  <si>
    <t xml:space="preserve">DRÁGEA</t>
  </si>
  <si>
    <t xml:space="preserve">DZ</t>
  </si>
  <si>
    <t xml:space="preserve">DUZIA</t>
  </si>
  <si>
    <t xml:space="preserve">EMB</t>
  </si>
  <si>
    <t xml:space="preserve">EMBALAGEM</t>
  </si>
  <si>
    <t xml:space="preserve">EMB/H</t>
  </si>
  <si>
    <t xml:space="preserve">EMBALAGEM POR HORA</t>
  </si>
  <si>
    <t xml:space="preserve">EMP</t>
  </si>
  <si>
    <t xml:space="preserve">EMPLASTRO</t>
  </si>
  <si>
    <t xml:space="preserve">ENV</t>
  </si>
  <si>
    <t xml:space="preserve">ENVELOPE</t>
  </si>
  <si>
    <t xml:space="preserve">ENV27/9G</t>
  </si>
  <si>
    <t xml:space="preserve">ENVELOPE COM 27,9 g</t>
  </si>
  <si>
    <t xml:space="preserve">ENV30G</t>
  </si>
  <si>
    <t xml:space="preserve">ENVELOPE COM 30 g</t>
  </si>
  <si>
    <t xml:space="preserve">EQP</t>
  </si>
  <si>
    <t xml:space="preserve">EQUIPAMENTO</t>
  </si>
  <si>
    <t xml:space="preserve">EST</t>
  </si>
  <si>
    <t xml:space="preserve">ESTUDANTE</t>
  </si>
  <si>
    <t xml:space="preserve">EV</t>
  </si>
  <si>
    <t xml:space="preserve">ELÉTRON-VOLT</t>
  </si>
  <si>
    <t xml:space="preserve">F</t>
  </si>
  <si>
    <t xml:space="preserve">FARAD</t>
  </si>
  <si>
    <t xml:space="preserve">FCK</t>
  </si>
  <si>
    <t xml:space="preserve">FD</t>
  </si>
  <si>
    <t xml:space="preserve">FARDO</t>
  </si>
  <si>
    <t xml:space="preserve">FL</t>
  </si>
  <si>
    <t xml:space="preserve">FOLHA</t>
  </si>
  <si>
    <t xml:space="preserve">FLAC</t>
  </si>
  <si>
    <t xml:space="preserve">FLACONETE</t>
  </si>
  <si>
    <t xml:space="preserve">FLS/H</t>
  </si>
  <si>
    <t xml:space="preserve">FOLHAS POR HORA</t>
  </si>
  <si>
    <t xml:space="preserve">FPM</t>
  </si>
  <si>
    <t xml:space="preserve">FLASH POR MINUTO</t>
  </si>
  <si>
    <t xml:space="preserve">FPS</t>
  </si>
  <si>
    <t xml:space="preserve">FOTOS P/SEGUNDO</t>
  </si>
  <si>
    <t xml:space="preserve">FR</t>
  </si>
  <si>
    <t xml:space="preserve">FRASCO</t>
  </si>
  <si>
    <t xml:space="preserve">FR1000ML</t>
  </si>
  <si>
    <t xml:space="preserve">FRASCO COM 1000 mL</t>
  </si>
  <si>
    <t xml:space="preserve">FR100DS</t>
  </si>
  <si>
    <t xml:space="preserve">FRASCO COM 100 DOSES</t>
  </si>
  <si>
    <t xml:space="preserve">FR100ML</t>
  </si>
  <si>
    <t xml:space="preserve">FRASCO COM 100 mL</t>
  </si>
  <si>
    <t xml:space="preserve">FR105ML</t>
  </si>
  <si>
    <t xml:space="preserve">FRASCO COM 105 mL</t>
  </si>
  <si>
    <t xml:space="preserve">FR10ML</t>
  </si>
  <si>
    <t xml:space="preserve">FRASCO COM 10 mL</t>
  </si>
  <si>
    <t xml:space="preserve">FR110ML</t>
  </si>
  <si>
    <t xml:space="preserve">FRASCO COM 110 mL</t>
  </si>
  <si>
    <t xml:space="preserve">FR1200MG</t>
  </si>
  <si>
    <t xml:space="preserve">FRASCO COM 1200 MG</t>
  </si>
  <si>
    <t xml:space="preserve">FR120DS</t>
  </si>
  <si>
    <t xml:space="preserve">FRASCO COM 120 DOSES</t>
  </si>
  <si>
    <t xml:space="preserve">FR120ML</t>
  </si>
  <si>
    <t xml:space="preserve">FRASCO COM 120 mL</t>
  </si>
  <si>
    <t xml:space="preserve">FR125ML</t>
  </si>
  <si>
    <t xml:space="preserve">FRASCO COM 125 mL</t>
  </si>
  <si>
    <t xml:space="preserve">FR130DS</t>
  </si>
  <si>
    <t xml:space="preserve">FRASCO COM 130 DOSES</t>
  </si>
  <si>
    <t xml:space="preserve">FR1500MG</t>
  </si>
  <si>
    <t xml:space="preserve">FRASCO COM 1500 MG</t>
  </si>
  <si>
    <t xml:space="preserve">FR150DS</t>
  </si>
  <si>
    <t xml:space="preserve">FRASCO COM 150 DOSES</t>
  </si>
  <si>
    <t xml:space="preserve">FR150ML</t>
  </si>
  <si>
    <t xml:space="preserve">FRASCO COM 150 mL</t>
  </si>
  <si>
    <t xml:space="preserve">FR15ML</t>
  </si>
  <si>
    <t xml:space="preserve">FRASCO COM 15 mL</t>
  </si>
  <si>
    <t xml:space="preserve">FR160ML</t>
  </si>
  <si>
    <t xml:space="preserve">FRASCO COM 160 mL</t>
  </si>
  <si>
    <t xml:space="preserve">FR200DS</t>
  </si>
  <si>
    <t xml:space="preserve">FRASCO COM 200 DOSES</t>
  </si>
  <si>
    <t xml:space="preserve">FR200ML</t>
  </si>
  <si>
    <t xml:space="preserve">FRASCO COM 200 mL</t>
  </si>
  <si>
    <t xml:space="preserve">FR20ML</t>
  </si>
  <si>
    <t xml:space="preserve">FRASCO COM 20 mL</t>
  </si>
  <si>
    <t xml:space="preserve">FR240ML</t>
  </si>
  <si>
    <t xml:space="preserve">FRASCO COM 240 mL</t>
  </si>
  <si>
    <t xml:space="preserve">FR250ML</t>
  </si>
  <si>
    <t xml:space="preserve">FRASCO COM 250 mL</t>
  </si>
  <si>
    <t xml:space="preserve">FR300DS</t>
  </si>
  <si>
    <t xml:space="preserve">FRASCO COM 300 DOSES</t>
  </si>
  <si>
    <t xml:space="preserve">FR300ML</t>
  </si>
  <si>
    <t xml:space="preserve">FRASCO COM 300 mL</t>
  </si>
  <si>
    <t xml:space="preserve">FR30DS</t>
  </si>
  <si>
    <t xml:space="preserve">FRASCO COM 30 DOSES</t>
  </si>
  <si>
    <t xml:space="preserve">FR30G</t>
  </si>
  <si>
    <t xml:space="preserve">FRASCO COM 30 g</t>
  </si>
  <si>
    <t xml:space="preserve">FR30ML</t>
  </si>
  <si>
    <t xml:space="preserve">FRASCO COM 30 mL</t>
  </si>
  <si>
    <t xml:space="preserve">FR340ML</t>
  </si>
  <si>
    <t xml:space="preserve">FRASCO COM 340 mL</t>
  </si>
  <si>
    <t xml:space="preserve">FR350ML</t>
  </si>
  <si>
    <t xml:space="preserve">FRASCO COM 350 mL</t>
  </si>
  <si>
    <t xml:space="preserve">FR40ML</t>
  </si>
  <si>
    <t xml:space="preserve">FRASCO COM 40 mL</t>
  </si>
  <si>
    <t xml:space="preserve">FR45ML</t>
  </si>
  <si>
    <t xml:space="preserve">FRASCO COM 45 mL</t>
  </si>
  <si>
    <t xml:space="preserve">FR500ML</t>
  </si>
  <si>
    <t xml:space="preserve">FRASCO COM 500 mL</t>
  </si>
  <si>
    <t xml:space="preserve">H</t>
  </si>
  <si>
    <t xml:space="preserve">HORA</t>
  </si>
  <si>
    <t xml:space="preserve">KG</t>
  </si>
  <si>
    <t xml:space="preserve">QUILOGRAMA</t>
  </si>
  <si>
    <t xml:space="preserve">KM</t>
  </si>
  <si>
    <t xml:space="preserve">QUILOMETRO</t>
  </si>
  <si>
    <t xml:space="preserve">M</t>
  </si>
  <si>
    <t xml:space="preserve">METRO</t>
  </si>
  <si>
    <t xml:space="preserve">M2</t>
  </si>
  <si>
    <t xml:space="preserve">METRO QUADRADO</t>
  </si>
  <si>
    <t xml:space="preserve">M3</t>
  </si>
  <si>
    <t xml:space="preserve">METRO CÚBICO</t>
  </si>
  <si>
    <t xml:space="preserve">M3XKM</t>
  </si>
  <si>
    <t xml:space="preserve">MES</t>
  </si>
  <si>
    <t xml:space="preserve">MÊS</t>
  </si>
  <si>
    <t xml:space="preserve">MÊS/MESES</t>
  </si>
  <si>
    <t xml:space="preserve">MESES</t>
  </si>
  <si>
    <t xml:space="preserve">OUTRAS</t>
  </si>
  <si>
    <t xml:space="preserve">PAR</t>
  </si>
  <si>
    <t xml:space="preserve">PC</t>
  </si>
  <si>
    <t xml:space="preserve">PEÇA</t>
  </si>
  <si>
    <t xml:space="preserve">T</t>
  </si>
  <si>
    <t xml:space="preserve">TONELADA</t>
  </si>
  <si>
    <t xml:space="preserve">TXKM</t>
  </si>
  <si>
    <t xml:space="preserve">UN</t>
  </si>
  <si>
    <t xml:space="preserve">UNIDADE</t>
  </si>
  <si>
    <t xml:space="preserve">MIN</t>
  </si>
  <si>
    <t xml:space="preserve">MED</t>
  </si>
  <si>
    <t xml:space="preserve">MAX</t>
  </si>
  <si>
    <t xml:space="preserve">Grau de Sigilo</t>
  </si>
  <si>
    <t xml:space="preserve">Construção e Reforma de Edifícios</t>
  </si>
  <si>
    <t xml:space="preserve">AC</t>
  </si>
  <si>
    <t xml:space="preserve">#PUBLICO</t>
  </si>
  <si>
    <t xml:space="preserve">SG</t>
  </si>
  <si>
    <t xml:space="preserve">R</t>
  </si>
  <si>
    <t xml:space="preserve">Nº OPERAÇÃO</t>
  </si>
  <si>
    <t xml:space="preserve">Nº TRANSFEREGOV</t>
  </si>
  <si>
    <t xml:space="preserve">PROPONENTE / TOMADOR</t>
  </si>
  <si>
    <t xml:space="preserve">DF</t>
  </si>
  <si>
    <t xml:space="preserve">L</t>
  </si>
  <si>
    <t xml:space="preserve">FILTRO</t>
  </si>
  <si>
    <t xml:space="preserve">BDI PAD</t>
  </si>
  <si>
    <t xml:space="preserve">APELIDO DO EMPREENDIMENTO / DESCRIÇÃO DO LOTE</t>
  </si>
  <si>
    <t xml:space="preserve">Construção de Praças Urbanas, Rodovias, Ferrovias e recapeamento e pavimentação de vias urbanas</t>
  </si>
  <si>
    <t xml:space="preserve">Conforme legislação tributária municipal, definir estimativa de percentual da base de cálculo para o ISS:</t>
  </si>
  <si>
    <t xml:space="preserve">↓</t>
  </si>
  <si>
    <t xml:space="preserve">Sobre a base de cálculo, definir a respectiva alíquota do ISS (entre 2% e 5%):</t>
  </si>
  <si>
    <t xml:space="preserve">Construção de Redes de Abastecimento de Água, Coleta de Esgoto</t>
  </si>
  <si>
    <t xml:space="preserve">BDI 1</t>
  </si>
  <si>
    <t xml:space="preserve">TIPO DE OBRA</t>
  </si>
  <si>
    <t xml:space="preserve">Itens</t>
  </si>
  <si>
    <t xml:space="preserve">Siglas</t>
  </si>
  <si>
    <t xml:space="preserve">% Adotado</t>
  </si>
  <si>
    <t xml:space="preserve">Situação</t>
  </si>
  <si>
    <t xml:space="preserve">1º Quartil</t>
  </si>
  <si>
    <t xml:space="preserve">Médio</t>
  </si>
  <si>
    <t xml:space="preserve">3º Quartil</t>
  </si>
  <si>
    <t xml:space="preserve">Construção e Manutenção de Estações e Redes de Distribuição de Energia Elétrica</t>
  </si>
  <si>
    <t xml:space="preserve">Risco</t>
  </si>
  <si>
    <t xml:space="preserve">Despesas Financeiras</t>
  </si>
  <si>
    <t xml:space="preserve">Obras Portuárias, Marítimas e Fluviais</t>
  </si>
  <si>
    <t xml:space="preserve">Tributos (impostos COFINS 3%, e  PIS 0,65%)</t>
  </si>
  <si>
    <t xml:space="preserve">Tributos (ISS, variável de acordo com o município)</t>
  </si>
  <si>
    <t xml:space="preserve">ISS</t>
  </si>
  <si>
    <t xml:space="preserve">Tributos (Contribuição Previdenciária sobre a Receita Bruta - Lei 12.546 de 14/12/2011 - Desoneração)</t>
  </si>
  <si>
    <t xml:space="preserve">CPRB</t>
  </si>
  <si>
    <t xml:space="preserve">BDI SEM desoneração (Fórmula Acórdão TCU)</t>
  </si>
  <si>
    <t xml:space="preserve">BDI COM desoneração</t>
  </si>
  <si>
    <t xml:space="preserve">BDI DES</t>
  </si>
  <si>
    <t xml:space="preserve">Fornecimento de Materiais e Equipamentos (aquisição indireta - em conjunto com licitação de obras)</t>
  </si>
  <si>
    <t xml:space="preserve">Os valores de BDI foram calculados com o emprego da fórmula:</t>
  </si>
  <si>
    <t xml:space="preserve">BDI =</t>
  </si>
  <si>
    <t xml:space="preserve"> - 1</t>
  </si>
  <si>
    <t xml:space="preserve">(1-CP-ISS-CRPB)</t>
  </si>
  <si>
    <t xml:space="preserve">Fornecimento de Materiais e Equipamentos (aquisição direta)</t>
  </si>
  <si>
    <t xml:space="preserve">-</t>
  </si>
  <si>
    <t xml:space="preserve">Observações:</t>
  </si>
  <si>
    <t xml:space="preserve">Estudos e Projetos, Planos e Gerenciamento e outros correlatos</t>
  </si>
  <si>
    <t xml:space="preserve">K1</t>
  </si>
  <si>
    <t xml:space="preserve">K2</t>
  </si>
  <si>
    <t xml:space="preserve">Local</t>
  </si>
  <si>
    <t xml:space="preserve">Data</t>
  </si>
  <si>
    <t xml:space="preserve">K3</t>
  </si>
  <si>
    <t xml:space="preserve">Responsável Técnico</t>
  </si>
  <si>
    <t xml:space="preserve">BDI 2</t>
  </si>
  <si>
    <t xml:space="preserve">BDI 3</t>
  </si>
  <si>
    <t xml:space="preserve">PO - PLANILHA ORÇAMENTÁRIA</t>
  </si>
  <si>
    <t xml:space="preserve">LOTE</t>
  </si>
  <si>
    <t xml:space="preserve">Meta</t>
  </si>
  <si>
    <t xml:space="preserve">Nível 2</t>
  </si>
  <si>
    <t xml:space="preserve">Nível 3</t>
  </si>
  <si>
    <t xml:space="preserve">Nível 4</t>
  </si>
  <si>
    <t xml:space="preserve">Serviço</t>
  </si>
  <si>
    <t xml:space="preserve">SINAPI</t>
  </si>
  <si>
    <t xml:space="preserve">SINAPI-I</t>
  </si>
  <si>
    <t xml:space="preserve">SICRO</t>
  </si>
  <si>
    <t xml:space="preserve">Composição</t>
  </si>
  <si>
    <t xml:space="preserve">Cotação</t>
  </si>
  <si>
    <t xml:space="preserve">Nmax</t>
  </si>
  <si>
    <t xml:space="preserve">Nº TransfereGOV</t>
  </si>
  <si>
    <t xml:space="preserve">APELIDO DO EMPREENDIMENTO</t>
  </si>
  <si>
    <t xml:space="preserve">RA</t>
  </si>
  <si>
    <t xml:space="preserve">RP</t>
  </si>
  <si>
    <t xml:space="preserve">OU</t>
  </si>
  <si>
    <t xml:space="preserve">LOCALIDADE SINAPI</t>
  </si>
  <si>
    <t xml:space="preserve">DATA BASE</t>
  </si>
  <si>
    <t xml:space="preserve">Quantidade</t>
  </si>
  <si>
    <t xml:space="preserve">QUANTIDADES: ACOMP. POR BM</t>
  </si>
  <si>
    <t xml:space="preserve">PREÇO UNITÁRIO LICITADO</t>
  </si>
  <si>
    <t xml:space="preserve">Intervalo de procura:</t>
  </si>
  <si>
    <t xml:space="preserve">RECURSO</t>
  </si>
  <si>
    <t xml:space="preserve">SGL RECURSO</t>
  </si>
  <si>
    <t xml:space="preserve">Custo Unitáro</t>
  </si>
  <si>
    <t xml:space="preserve">Localidade:</t>
  </si>
  <si>
    <t xml:space="preserve">Data base:</t>
  </si>
  <si>
    <t xml:space="preserve">ERRO GERAL</t>
  </si>
  <si>
    <t xml:space="preserve">Preço Unitário</t>
  </si>
  <si>
    <t xml:space="preserve">Preço Total</t>
  </si>
  <si>
    <t xml:space="preserve">Valores não Arredondados</t>
  </si>
  <si>
    <t xml:space="preserve">Nível E</t>
  </si>
  <si>
    <t xml:space="preserve">Save Nivel</t>
  </si>
  <si>
    <t xml:space="preserve">Nível C</t>
  </si>
  <si>
    <t xml:space="preserve">Altura</t>
  </si>
  <si>
    <t xml:space="preserve">n1</t>
  </si>
  <si>
    <t xml:space="preserve">n2</t>
  </si>
  <si>
    <t xml:space="preserve">n3</t>
  </si>
  <si>
    <t xml:space="preserve">n4</t>
  </si>
  <si>
    <t xml:space="preserve">n5</t>
  </si>
  <si>
    <t xml:space="preserve">Czero</t>
  </si>
  <si>
    <t xml:space="preserve">Cnível</t>
  </si>
  <si>
    <t xml:space="preserve">Nível</t>
  </si>
  <si>
    <t xml:space="preserve">Nível Corrigido</t>
  </si>
  <si>
    <t xml:space="preserve">Item</t>
  </si>
  <si>
    <t xml:space="preserve">Fonte</t>
  </si>
  <si>
    <t xml:space="preserve">Código</t>
  </si>
  <si>
    <t xml:space="preserve">Unidade</t>
  </si>
  <si>
    <t xml:space="preserve">Preço Unitário (com BDI) (R$)</t>
  </si>
  <si>
    <t xml:space="preserve">Preço Total
(R$)</t>
  </si>
  <si>
    <t xml:space="preserve">Contrapartida (R$)</t>
  </si>
  <si>
    <t xml:space="preserve">Outros (R$)</t>
  </si>
  <si>
    <t xml:space="preserve">Erro de Dados</t>
  </si>
  <si>
    <t xml:space="preserve">Lista Crono</t>
  </si>
  <si>
    <t xml:space="preserve">Concatenação Fonte-Código</t>
  </si>
  <si>
    <t xml:space="preserve">BancoDesloc</t>
  </si>
  <si>
    <t xml:space="preserve">Custo Unitário Referência (R$)</t>
  </si>
  <si>
    <t xml:space="preserve">Preço Total
Licit. (R$)</t>
  </si>
  <si>
    <t xml:space="preserve">Preço Unitário Edital (R$)</t>
  </si>
  <si>
    <t xml:space="preserve"> </t>
  </si>
  <si>
    <t xml:space="preserve">REVITALIZAÇÃO DA ORLA DA BEIRA RIO </t>
  </si>
  <si>
    <t xml:space="preserve">ADMINISTRAÇÃO DA OBRA</t>
  </si>
  <si>
    <t xml:space="preserve">01</t>
  </si>
  <si>
    <t xml:space="preserve">MOBILIZAÇÃO E DESMOBILIZAÇÃO</t>
  </si>
  <si>
    <t xml:space="preserve">02</t>
  </si>
  <si>
    <t xml:space="preserve">MOBILIZAÇÃO</t>
  </si>
  <si>
    <t xml:space="preserve">DESMOBILIZAÇÃO</t>
  </si>
  <si>
    <t xml:space="preserve">SERVIÇOS PRELIMINARES</t>
  </si>
  <si>
    <t xml:space="preserve">103689</t>
  </si>
  <si>
    <t xml:space="preserve">08</t>
  </si>
  <si>
    <t xml:space="preserve">09</t>
  </si>
  <si>
    <t xml:space="preserve">104790</t>
  </si>
  <si>
    <t xml:space="preserve">REMOÇAO/DEMOLIÇÃO PASSEIO E MEIO FIO EXISTENTE</t>
  </si>
  <si>
    <t xml:space="preserve">97635</t>
  </si>
  <si>
    <t xml:space="preserve">MOVIMENTAÇÃO DE TERRA</t>
  </si>
  <si>
    <t xml:space="preserve">4805750</t>
  </si>
  <si>
    <t xml:space="preserve">97083</t>
  </si>
  <si>
    <t xml:space="preserve">95875</t>
  </si>
  <si>
    <t xml:space="preserve">PLATAFORMA</t>
  </si>
  <si>
    <t xml:space="preserve">03</t>
  </si>
  <si>
    <t xml:space="preserve">04</t>
  </si>
  <si>
    <t xml:space="preserve">05</t>
  </si>
  <si>
    <t xml:space="preserve">07</t>
  </si>
  <si>
    <t xml:space="preserve">97097</t>
  </si>
  <si>
    <t xml:space="preserve">PAVIMENTAÇAO</t>
  </si>
  <si>
    <t xml:space="preserve">101090</t>
  </si>
  <si>
    <t xml:space="preserve">104658</t>
  </si>
  <si>
    <t xml:space="preserve">12</t>
  </si>
  <si>
    <t xml:space="preserve">2</t>
  </si>
  <si>
    <t xml:space="preserve">10</t>
  </si>
  <si>
    <t xml:space="preserve">1</t>
  </si>
  <si>
    <t xml:space="preserve">14</t>
  </si>
  <si>
    <t xml:space="preserve">8</t>
  </si>
  <si>
    <t xml:space="preserve">13</t>
  </si>
  <si>
    <t xml:space="preserve">PINTURA</t>
  </si>
  <si>
    <t xml:space="preserve">104642</t>
  </si>
  <si>
    <t xml:space="preserve">102498</t>
  </si>
  <si>
    <t xml:space="preserve">PAISAGISMO</t>
  </si>
  <si>
    <t xml:space="preserve">4413200</t>
  </si>
  <si>
    <t xml:space="preserve">3</t>
  </si>
  <si>
    <t xml:space="preserve">ILUMINAÇÃO</t>
  </si>
  <si>
    <t xml:space="preserve">11</t>
  </si>
  <si>
    <t xml:space="preserve">6</t>
  </si>
  <si>
    <t xml:space="preserve">7</t>
  </si>
  <si>
    <t xml:space="preserve">Encargos sociais:</t>
  </si>
  <si>
    <t xml:space="preserve">Para elaboração deste orçamento, foram utilizados os encargos sociais do SINAPI para a Unidade da Federação indicada.</t>
  </si>
  <si>
    <t xml:space="preserve">Siglas da Composição do Investimento: RA - Rateio proporcional entre Repasse e Contrapartida; RP - 100% Repasse; CP - 100% Contrapartida; OU - 100% Outros.</t>
  </si>
  <si>
    <t xml:space="preserve">AGRUPADORES DE EVENTOS</t>
  </si>
  <si>
    <r>
      <rPr>
        <sz val="10"/>
        <rFont val="Arial"/>
        <family val="2"/>
        <charset val="1"/>
      </rPr>
      <t xml:space="preserve">Grau de Sigilo
</t>
    </r>
    <r>
      <rPr>
        <b val="true"/>
        <sz val="10"/>
        <rFont val="Arial"/>
        <family val="2"/>
        <charset val="1"/>
      </rPr>
      <t xml:space="preserve">#PUBLICO</t>
    </r>
  </si>
  <si>
    <t xml:space="preserve">APELIDO EMPREENDIMENTO</t>
  </si>
  <si>
    <t xml:space="preserve">Automática, conforme os agrupadores Nível 2 do Orçamento</t>
  </si>
  <si>
    <t xml:space="preserve">1. Selecione abaixo a forma de definição dos agrupadores de eventos:</t>
  </si>
  <si>
    <t xml:space="preserve">Automática, conforme os agrupadores Nível 3 do Orçamento</t>
  </si>
  <si>
    <t xml:space="preserve">Automática, conforme os agrupadores Nível 4 do Orçamento</t>
  </si>
  <si>
    <t xml:space="preserve">Definir Manualmente</t>
  </si>
  <si>
    <t xml:space="preserve">Nº do Evento</t>
  </si>
  <si>
    <t xml:space="preserve">Título do Evento</t>
  </si>
  <si>
    <t xml:space="preserve">Valor Total dos Eventos (R$)</t>
  </si>
  <si>
    <t xml:space="preserve">Total:</t>
  </si>
  <si>
    <t xml:space="preserve">.</t>
  </si>
  <si>
    <t xml:space="preserve">Preços dos serviços por frente</t>
  </si>
  <si>
    <t xml:space="preserve">Mês do cronograma</t>
  </si>
  <si>
    <t xml:space="preserve">Número da Medição</t>
  </si>
  <si>
    <t xml:space="preserve">AdmLocal</t>
  </si>
  <si>
    <t xml:space="preserve">Empty</t>
  </si>
  <si>
    <t xml:space="preserve">Nº AGRUPADOR DE EVENTOS</t>
  </si>
  <si>
    <t xml:space="preserve">AUTOEVENTO</t>
  </si>
  <si>
    <t xml:space="preserve">Memória de Cálculo</t>
  </si>
  <si>
    <t xml:space="preserve">Nº</t>
  </si>
  <si>
    <t xml:space="preserve"># Evento</t>
  </si>
  <si>
    <t xml:space="preserve">Agrupador de Eventos</t>
  </si>
  <si>
    <t xml:space="preserve">TOTAL FINANC. POR FRENTE (R$):</t>
  </si>
  <si>
    <t xml:space="preserve">12 meses</t>
  </si>
  <si>
    <t xml:space="preserve">1 unidade</t>
  </si>
  <si>
    <t xml:space="preserve">placa obra 3,60 x 1,80                                placa licença 1,00 x 0,80</t>
  </si>
  <si>
    <t xml:space="preserve">levantamento em campo, área determinado em projeto</t>
  </si>
  <si>
    <t xml:space="preserve">area determinada em projeto                 A= 634,54 m2                                    esp = 0,50 m</t>
  </si>
  <si>
    <t xml:space="preserve">vol. 317,27m3                                   dist 15 km</t>
  </si>
  <si>
    <t xml:space="preserve">plataforma 6 - 22 un.                         plataforma 7 - 52 un.                                 plataforma junção 7/8 - 14 un.                                 plataforma 8 - 62 un.                                        plataforma 9 - 36 un.  </t>
  </si>
  <si>
    <t xml:space="preserve">plataforma 6 - 22 un.                         plataforma 7 - 52 un.                                 plataforma junção 7/8 - 14 un.                                 plataforma 8 - 62 un.                                        plataforma 9 - 36 un. </t>
  </si>
  <si>
    <t xml:space="preserve">plataforma 6 - 88,39 m                         plataforma 7 - 305,65 m                                 plataforma junção 7/8 - 38,93 m                                 plataforma 8 - 300,34 m                                        plataforma 9 - 147,77 m </t>
  </si>
  <si>
    <t xml:space="preserve">plataforma 6 - 83,86 m2                         plataforma 7 - 379,56 m2                                 plataforma junção 7/8 - 26,01 m2                                 plataforma 8 - 332,82 m2                                        plataforma 9 - 150,01 m2 </t>
  </si>
  <si>
    <t xml:space="preserve">direcional 237,00x0,25=59,25m2                                                      alerta 23,00x0,25 = 5,75m2         </t>
  </si>
  <si>
    <t xml:space="preserve">20 unidades</t>
  </si>
  <si>
    <t xml:space="preserve">24 unidades</t>
  </si>
  <si>
    <t xml:space="preserve">comprimento definido em projeto</t>
  </si>
  <si>
    <t xml:space="preserve">4 unidades</t>
  </si>
  <si>
    <t xml:space="preserve">2 unidades</t>
  </si>
  <si>
    <t xml:space="preserve">plataforma 9 - 49,94m2                plataforma 8 - 50,54m2                     mureta 24,51m2</t>
  </si>
  <si>
    <t xml:space="preserve">levantamento em campo, comprimento determinado em projeto</t>
  </si>
  <si>
    <t xml:space="preserve">canteiro 1 - 31,10m2                         canteiro 2 - 10,33m2                canteiro 3 - 10,33m2                     canteiro 4 - 7,99m2                 canteiro 5 - 190,35m2</t>
  </si>
  <si>
    <t xml:space="preserve">50 unidades</t>
  </si>
  <si>
    <t xml:space="preserve">120 unidades</t>
  </si>
  <si>
    <t xml:space="preserve">CRONOGRAMA PREVISTO PLE</t>
  </si>
  <si>
    <t xml:space="preserve">Título dos Eventos</t>
  </si>
  <si>
    <t xml:space="preserve">Cronograma</t>
  </si>
  <si>
    <t xml:space="preserve">Parcela</t>
  </si>
  <si>
    <t xml:space="preserve">%</t>
  </si>
  <si>
    <t xml:space="preserve">R$</t>
  </si>
  <si>
    <t xml:space="preserve">Acumulado</t>
  </si>
  <si>
    <t xml:space="preserve">Administração Local</t>
  </si>
  <si>
    <t xml:space="preserve">% Período:</t>
  </si>
  <si>
    <t xml:space="preserve">Níveis a Exibir no Cronograma:</t>
  </si>
  <si>
    <t xml:space="preserve">Nº TGOV</t>
  </si>
  <si>
    <t xml:space="preserve">PROPONENTE TOMADOR</t>
  </si>
  <si>
    <t xml:space="preserve">Lista Níveis a Exibir</t>
  </si>
  <si>
    <t xml:space="preserve">Lista Macrosserviços</t>
  </si>
  <si>
    <t xml:space="preserve">Falta distribuir:</t>
  </si>
  <si>
    <t xml:space="preserve">Valor (R$)</t>
  </si>
  <si>
    <t xml:space="preserve">Parcelas:</t>
  </si>
  <si>
    <t xml:space="preserve">Item CRONO</t>
  </si>
  <si>
    <t xml:space="preserve">Linha PO
Linha QCI
Total Adm Local</t>
  </si>
  <si>
    <t xml:space="preserve">Linhas a somar</t>
  </si>
  <si>
    <t xml:space="preserve">#</t>
  </si>
  <si>
    <t xml:space="preserve">%:</t>
  </si>
  <si>
    <t xml:space="preserve">Período:</t>
  </si>
  <si>
    <t xml:space="preserve">Contrapartida:</t>
  </si>
  <si>
    <t xml:space="preserve">Outros:</t>
  </si>
  <si>
    <t xml:space="preserve">Investimento:</t>
  </si>
  <si>
    <t xml:space="preserve">Acumulado:</t>
  </si>
  <si>
    <t xml:space="preserve">1.1. ADMINISTRAÇÃO DA OBRA</t>
  </si>
  <si>
    <t xml:space="preserve">Administração Local:</t>
  </si>
  <si>
    <t xml:space="preserve">Lista Situação</t>
  </si>
  <si>
    <t xml:space="preserve">QCI - Quadro de Composição do Investimento</t>
  </si>
  <si>
    <t xml:space="preserve">Sem Projeto</t>
  </si>
  <si>
    <t xml:space="preserve">% Maior:</t>
  </si>
  <si>
    <t xml:space="preserve">% Rateio CP Fin:</t>
  </si>
  <si>
    <t xml:space="preserve">Em Análise</t>
  </si>
  <si>
    <t xml:space="preserve">MUNICÍPIO / UF</t>
  </si>
  <si>
    <t xml:space="preserve">VALORES CONTRATADOS (R$):</t>
  </si>
  <si>
    <t xml:space="preserve">Análise Concluída / A Licitar</t>
  </si>
  <si>
    <t xml:space="preserve">Licitado / Em Execução</t>
  </si>
  <si>
    <t xml:space="preserve">Concluído</t>
  </si>
  <si>
    <t xml:space="preserve">CONTRAPARTIDA</t>
  </si>
  <si>
    <t xml:space="preserve">INVESTIMENTO</t>
  </si>
  <si>
    <t xml:space="preserve">% CP Min Prog:</t>
  </si>
  <si>
    <t xml:space="preserve">% CP Absoluta:</t>
  </si>
  <si>
    <t xml:space="preserve">% CP Max Rep:</t>
  </si>
  <si>
    <t xml:space="preserve">Divisão Investimento</t>
  </si>
  <si>
    <t xml:space="preserve">Proporcional</t>
  </si>
  <si>
    <t xml:space="preserve">Calculado</t>
  </si>
  <si>
    <t xml:space="preserve">Saldo a Reprogramar</t>
  </si>
  <si>
    <t xml:space="preserve">Ordem Meta</t>
  </si>
  <si>
    <t xml:space="preserve">Arred</t>
  </si>
  <si>
    <t xml:space="preserve">Repasse (R$)</t>
  </si>
  <si>
    <t xml:space="preserve">Busca</t>
  </si>
  <si>
    <t xml:space="preserve">Item de Investimento</t>
  </si>
  <si>
    <t xml:space="preserve">Subitem de Investimento</t>
  </si>
  <si>
    <t xml:space="preserve">Descrição da Meta</t>
  </si>
  <si>
    <t xml:space="preserve">Unid.</t>
  </si>
  <si>
    <t xml:space="preserve">Lote de Licitação / nº do CTEF</t>
  </si>
  <si>
    <t xml:space="preserve">Contrapartida Financeira (R$)</t>
  </si>
  <si>
    <t xml:space="preserve">Investimento (R$)</t>
  </si>
  <si>
    <t xml:space="preserve">Divisão do Investimento</t>
  </si>
  <si>
    <t xml:space="preserve">TR$</t>
  </si>
  <si>
    <t xml:space="preserve">TOTAL</t>
  </si>
  <si>
    <t xml:space="preserve">T%</t>
  </si>
  <si>
    <t xml:space="preserve">Representante Tomador</t>
  </si>
  <si>
    <t xml:space="preserve">PLE - PLANILHA DE LEVANTAMENTO DE EVENTOS</t>
  </si>
  <si>
    <t xml:space="preserve">Medição:</t>
  </si>
  <si>
    <t xml:space="preserve">% Realizado Período.:</t>
  </si>
  <si>
    <t xml:space="preserve">% Realizado Acum.:</t>
  </si>
  <si>
    <t xml:space="preserve">Filtro</t>
  </si>
  <si>
    <t xml:space="preserve">Informe abaixo o NÚMERO DA MEDIÇÃO em que os eventos foram concluídos</t>
  </si>
  <si>
    <t xml:space="preserve">Data das Medições</t>
  </si>
  <si>
    <t xml:space="preserve">Medições</t>
  </si>
  <si>
    <t xml:space="preserve">Responsável Técnico pela Fiscalização</t>
  </si>
  <si>
    <t xml:space="preserve">Modo CAIXA</t>
  </si>
  <si>
    <t xml:space="preserve">INÍCIO DE OBRA</t>
  </si>
  <si>
    <t xml:space="preserve">Regime </t>
  </si>
  <si>
    <t xml:space="preserve">Fórmula CopMed</t>
  </si>
  <si>
    <t xml:space="preserve">Nº CTEF</t>
  </si>
  <si>
    <t xml:space="preserve">EMPRESA EXECUTORA</t>
  </si>
  <si>
    <t xml:space="preserve">CNPJ</t>
  </si>
  <si>
    <t xml:space="preserve">PERÍODO DA MEDIÇÃO</t>
  </si>
  <si>
    <t xml:space="preserve">Nº MEDIÇÃO</t>
  </si>
  <si>
    <t xml:space="preserve">ARREDMED</t>
  </si>
  <si>
    <t xml:space="preserve">Linha Adm. L.</t>
  </si>
  <si>
    <t xml:space="preserve">Anexo</t>
  </si>
  <si>
    <t xml:space="preserve">Datas das Medições</t>
  </si>
  <si>
    <t xml:space="preserve">Orçamento Contratado</t>
  </si>
  <si>
    <t xml:space="preserve">Evolução Financeira (R$)</t>
  </si>
  <si>
    <t xml:space="preserve">Quadro de Glosas</t>
  </si>
  <si>
    <t xml:space="preserve">Acum. Anterior</t>
  </si>
  <si>
    <t xml:space="preserve">Período</t>
  </si>
  <si>
    <t xml:space="preserve">Acum. Incluindo o Período</t>
  </si>
  <si>
    <t xml:space="preserve">Valor Total Glosado (R$)</t>
  </si>
  <si>
    <t xml:space="preserve">Motivo da Glosa</t>
  </si>
  <si>
    <t xml:space="preserve">Valor Total Medido (R$)</t>
  </si>
  <si>
    <t xml:space="preserve">TOTAL:</t>
  </si>
  <si>
    <t xml:space="preserve">Observações</t>
  </si>
  <si>
    <t xml:space="preserve">Profissional CAIXA:</t>
  </si>
  <si>
    <t xml:space="preserve">Matrícula</t>
  </si>
  <si>
    <r>
      <rPr>
        <sz val="10.5"/>
        <rFont val="Arial Narrow"/>
        <family val="2"/>
        <charset val="1"/>
      </rPr>
      <t xml:space="preserve">Grau de Sigilo
</t>
    </r>
    <r>
      <rPr>
        <b val="true"/>
        <sz val="10"/>
        <rFont val="Arial"/>
        <family val="2"/>
        <charset val="1"/>
      </rPr>
      <t xml:space="preserve">#PUBLICO</t>
    </r>
  </si>
  <si>
    <t xml:space="preserve">Acum. Previsto</t>
  </si>
  <si>
    <t xml:space="preserve">Acum. Chegada</t>
  </si>
  <si>
    <t xml:space="preserve">Outros</t>
  </si>
  <si>
    <t xml:space="preserve">Nº RRE</t>
  </si>
  <si>
    <t xml:space="preserve">Investimento</t>
  </si>
  <si>
    <t xml:space="preserve">Situação do TC/CR:</t>
  </si>
  <si>
    <t xml:space="preserve">Percentual previsto em:</t>
  </si>
  <si>
    <t xml:space="preserve">Lista CTEF</t>
  </si>
  <si>
    <t xml:space="preserve">Lista CTEFs</t>
  </si>
  <si>
    <t xml:space="preserve">Acumulado Período Anterior</t>
  </si>
  <si>
    <t xml:space="preserve">Acumulado incluindo o Período</t>
  </si>
  <si>
    <t xml:space="preserve">Linha
PO</t>
  </si>
  <si>
    <t xml:space="preserve">BM / PLE nº</t>
  </si>
  <si>
    <t xml:space="preserve">Valor Total (R$)</t>
  </si>
  <si>
    <t xml:space="preserve">No Período</t>
  </si>
  <si>
    <t xml:space="preserve">Execução Física Acum.</t>
  </si>
  <si>
    <t xml:space="preserve">Acum. Período Anterior - CP</t>
  </si>
  <si>
    <t xml:space="preserve">Acum. Período Anterior - Outros</t>
  </si>
  <si>
    <t xml:space="preserve">Acum. Incluindo Período - CP</t>
  </si>
  <si>
    <t xml:space="preserve">Acum. Incluindo Período - Outros</t>
  </si>
  <si>
    <t xml:space="preserve">(%)</t>
  </si>
  <si>
    <t xml:space="preserve">Anterior (R$)</t>
  </si>
  <si>
    <t xml:space="preserve">Acumulado (R$)</t>
  </si>
  <si>
    <t xml:space="preserve">Max CP/OU Ant.</t>
  </si>
  <si>
    <t xml:space="preserve">Max CP/OU Acum.</t>
  </si>
  <si>
    <t xml:space="preserve">Contrapartida</t>
  </si>
  <si>
    <t xml:space="preserve"># PÚBLICO</t>
  </si>
  <si>
    <t xml:space="preserve">Ofício n°:</t>
  </si>
  <si>
    <t xml:space="preserve">À</t>
  </si>
  <si>
    <t xml:space="preserve">CAIXA ECONÔMICA FEDERAL</t>
  </si>
  <si>
    <t xml:space="preserve">GIGOV</t>
  </si>
  <si>
    <t xml:space="preserve">Assunto:</t>
  </si>
  <si>
    <t xml:space="preserve">REF:</t>
  </si>
  <si>
    <t xml:space="preserve">Objeto:</t>
  </si>
  <si>
    <t xml:space="preserve">Proponente / Tomador:</t>
  </si>
  <si>
    <t xml:space="preserve">Valores Vigentes do TC/CR</t>
  </si>
  <si>
    <t xml:space="preserve">Valores Medidos Acumulados</t>
  </si>
  <si>
    <t xml:space="preserve">Contrapartida Financeira:</t>
  </si>
  <si>
    <t xml:space="preserve">Execução Física:</t>
  </si>
  <si>
    <t xml:space="preserve">Atenciosamente,</t>
  </si>
  <si>
    <t xml:space="preserve">Nivel</t>
  </si>
  <si>
    <t xml:space="preserve">N° Macrosserviço / Serviço</t>
  </si>
  <si>
    <t xml:space="preserve">Descrição Macrosserviço / Serviço</t>
  </si>
  <si>
    <t xml:space="preserve">Qtd. (valor calculado)</t>
  </si>
  <si>
    <t xml:space="preserve">Und.</t>
  </si>
  <si>
    <t xml:space="preserve">Custo Unitário Referência</t>
  </si>
  <si>
    <t xml:space="preserve">Custo Unitário</t>
  </si>
  <si>
    <t xml:space="preserve">Preço Unitário (valor calculado)</t>
  </si>
  <si>
    <t xml:space="preserve">Preço Total (valor calculado)</t>
  </si>
  <si>
    <t xml:space="preserve">Observação</t>
  </si>
  <si>
    <t xml:space="preserve">N° Evento</t>
  </si>
  <si>
    <t xml:space="preserve">Evento</t>
  </si>
  <si>
    <t xml:space="preserve">N° Frente de Obra</t>
  </si>
  <si>
    <t xml:space="preserve">Frente de Obra</t>
  </si>
  <si>
    <t xml:space="preserve">Qtd.</t>
  </si>
  <si>
    <t xml:space="preserve">Valor</t>
  </si>
  <si>
    <t xml:space="preserve">N° do Evento</t>
  </si>
  <si>
    <t xml:space="preserve">N° da Frente de Obra</t>
  </si>
  <si>
    <t xml:space="preserve">N° do Período de Conclusão do Evento</t>
  </si>
  <si>
    <t xml:space="preserve">Número</t>
  </si>
  <si>
    <t xml:space="preserve">Macrosserviço</t>
  </si>
  <si>
    <t xml:space="preserve">Percentual Parcela</t>
  </si>
</sst>
</file>

<file path=xl/styles.xml><?xml version="1.0" encoding="utf-8"?>
<styleSheet xmlns="http://schemas.openxmlformats.org/spreadsheetml/2006/main">
  <numFmts count="36">
    <numFmt numFmtId="164" formatCode="General"/>
    <numFmt numFmtId="165" formatCode="_(&quot;R$ &quot;* #,##0.00_);_(&quot;R$ &quot;* \(#,##0.00\);_(&quot;R$ &quot;* \-??_);_(@_)"/>
    <numFmt numFmtId="166" formatCode="0%"/>
    <numFmt numFmtId="167" formatCode="_-* #,##0.00_-;\-* #,##0.00_-;_-* \-??_-;_-@_-"/>
    <numFmt numFmtId="168" formatCode="@"/>
    <numFmt numFmtId="169" formatCode="#,##0.00"/>
    <numFmt numFmtId="170" formatCode="0.00%"/>
    <numFmt numFmtId="171" formatCode="mm\-yyyy"/>
    <numFmt numFmtId="172" formatCode="d/m/yyyy"/>
    <numFmt numFmtId="173" formatCode="0"/>
    <numFmt numFmtId="174" formatCode="General;General"/>
    <numFmt numFmtId="175" formatCode="[$-F800]dddd&quot;, &quot;mmmm\ dd&quot;, &quot;yyyy"/>
    <numFmt numFmtId="176" formatCode="dd&quot; de &quot;mmmm&quot; de &quot;yyyy"/>
    <numFmt numFmtId="177" formatCode="mmm\-yy;@"/>
    <numFmt numFmtId="178" formatCode="_(* #,##0.00_);_(* \(#,##0.00\);_(* \-??_);_(@_)"/>
    <numFmt numFmtId="179" formatCode="_-* #,##0.00_-;\-* #,##0.00_-;_-* \-??_-;_-@_-"/>
    <numFmt numFmtId="180" formatCode="General;;;"/>
    <numFmt numFmtId="181" formatCode="&quot;Mês &quot;00"/>
    <numFmt numFmtId="182" formatCode="_-#,##0.00_-;\-#,##0.00_-;_-\-??_-;_-@_-"/>
    <numFmt numFmtId="183" formatCode="0\."/>
    <numFmt numFmtId="184" formatCode="_(\ #,##0.00_);_(&quot; (&quot;#,##0.00\);_(&quot; -&quot;??_);_(@_)"/>
    <numFmt numFmtId="185" formatCode="mm/yy"/>
    <numFmt numFmtId="186" formatCode="0.00E+00"/>
    <numFmt numFmtId="187" formatCode="_-#,##0.00_-;\-#,##0.00_-;_-&quot; -&quot;??_-;_-@_-"/>
    <numFmt numFmtId="188" formatCode="##\."/>
    <numFmt numFmtId="189" formatCode="#,##0.00_ ;\-#,##0.00\ "/>
    <numFmt numFmtId="190" formatCode="_-&quot;R$ &quot;* #,##0.00_-;&quot;-R$ &quot;* #,##0.00_-;_-&quot;R$ &quot;* \-??_-;_-@_-"/>
    <numFmt numFmtId="191" formatCode="&quot;( &quot;0.00%&quot; )&quot;"/>
    <numFmt numFmtId="192" formatCode="&quot;Medição &quot;0"/>
    <numFmt numFmtId="193" formatCode="_(#,##0.00_);_(* \(#,##0.00\);_(* \-??_);_(@_)"/>
    <numFmt numFmtId="194" formatCode="dd/mm/yy;@"/>
    <numFmt numFmtId="195" formatCode="&quot;Medição &quot;##"/>
    <numFmt numFmtId="196" formatCode="_(* #,##0.00_);_(* \(#,##0.00\);;_(@_)"/>
    <numFmt numFmtId="197" formatCode="dddd&quot;, &quot;mmmm\ dd&quot;, &quot;yyyy"/>
    <numFmt numFmtId="198" formatCode="&quot;R$ &quot;#,##0.00"/>
    <numFmt numFmtId="199" formatCode="0.00"/>
  </numFmts>
  <fonts count="71">
    <font>
      <sz val="10"/>
      <name val="Arial"/>
      <family val="2"/>
      <charset val="1"/>
    </font>
    <font>
      <sz val="10"/>
      <name val="Arial"/>
      <family val="0"/>
    </font>
    <font>
      <sz val="10"/>
      <name val="Arial"/>
      <family val="0"/>
    </font>
    <font>
      <sz val="10"/>
      <name val="Arial"/>
      <family val="0"/>
    </font>
    <font>
      <sz val="11"/>
      <color rgb="FF000000"/>
      <name val="Calibri"/>
      <family val="2"/>
      <charset val="1"/>
    </font>
    <font>
      <sz val="9"/>
      <name val="Arial"/>
      <family val="2"/>
      <charset val="1"/>
    </font>
    <font>
      <sz val="18"/>
      <color rgb="FF666699"/>
      <name val="Calibri Light"/>
      <family val="2"/>
      <charset val="1"/>
    </font>
    <font>
      <b val="true"/>
      <sz val="18"/>
      <color rgb="FF000000"/>
      <name val="Calibri"/>
      <family val="2"/>
      <charset val="1"/>
    </font>
    <font>
      <b val="true"/>
      <sz val="14"/>
      <color rgb="FF000000"/>
      <name val="Calibri"/>
      <family val="2"/>
      <charset val="1"/>
    </font>
    <font>
      <u val="single"/>
      <sz val="11"/>
      <color rgb="FF000000"/>
      <name val="Calibri"/>
      <family val="2"/>
      <charset val="1"/>
    </font>
    <font>
      <b val="true"/>
      <sz val="11"/>
      <color rgb="FF000000"/>
      <name val="Calibri"/>
      <family val="2"/>
      <charset val="1"/>
    </font>
    <font>
      <b val="true"/>
      <sz val="11"/>
      <color rgb="FF000000"/>
      <name val="Calibri"/>
      <family val="0"/>
    </font>
    <font>
      <sz val="10"/>
      <color theme="0"/>
      <name val="Arial"/>
      <family val="2"/>
      <charset val="1"/>
    </font>
    <font>
      <b val="true"/>
      <sz val="13"/>
      <name val="Arial"/>
      <family val="2"/>
      <charset val="1"/>
    </font>
    <font>
      <b val="true"/>
      <sz val="18"/>
      <name val="Arial"/>
      <family val="2"/>
      <charset val="1"/>
    </font>
    <font>
      <sz val="10"/>
      <color rgb="FFFFFFFF"/>
      <name val="Arial"/>
      <family val="2"/>
      <charset val="1"/>
    </font>
    <font>
      <sz val="14"/>
      <color rgb="FF0000FF"/>
      <name val="Arial"/>
      <family val="2"/>
      <charset val="1"/>
    </font>
    <font>
      <u val="single"/>
      <sz val="10"/>
      <color theme="10"/>
      <name val="Arial"/>
      <family val="2"/>
      <charset val="1"/>
    </font>
    <font>
      <b val="true"/>
      <sz val="10"/>
      <name val="Arial"/>
      <family val="2"/>
      <charset val="1"/>
    </font>
    <font>
      <b val="true"/>
      <sz val="14"/>
      <name val="Arial"/>
      <family val="2"/>
      <charset val="1"/>
    </font>
    <font>
      <b val="true"/>
      <sz val="12"/>
      <name val="Arial"/>
      <family val="2"/>
      <charset val="1"/>
    </font>
    <font>
      <b val="true"/>
      <sz val="11"/>
      <name val="Arial"/>
      <family val="2"/>
      <charset val="1"/>
    </font>
    <font>
      <b val="true"/>
      <i val="true"/>
      <sz val="11"/>
      <color rgb="FF000000"/>
      <name val="Calibri"/>
      <family val="0"/>
    </font>
    <font>
      <sz val="8"/>
      <color rgb="FF000000"/>
      <name val="Segoe UI"/>
      <family val="0"/>
      <charset val="1"/>
    </font>
    <font>
      <b val="true"/>
      <sz val="11"/>
      <color rgb="FFFF0000"/>
      <name val="Arial"/>
      <family val="2"/>
      <charset val="1"/>
    </font>
    <font>
      <b val="true"/>
      <sz val="12"/>
      <color rgb="FFFF0000"/>
      <name val="Arial"/>
      <family val="2"/>
      <charset val="1"/>
    </font>
    <font>
      <sz val="10"/>
      <color rgb="FFFF0000"/>
      <name val="Arial"/>
      <family val="2"/>
      <charset val="1"/>
    </font>
    <font>
      <sz val="10"/>
      <name val="Arial"/>
      <family val="2"/>
    </font>
    <font>
      <b val="true"/>
      <sz val="10"/>
      <color rgb="FF0000FF"/>
      <name val="Arial"/>
      <family val="2"/>
      <charset val="1"/>
    </font>
    <font>
      <sz val="10"/>
      <name val="Calibri"/>
      <family val="2"/>
      <charset val="1"/>
    </font>
    <font>
      <b val="true"/>
      <sz val="10"/>
      <color rgb="FFFF0000"/>
      <name val="Arial"/>
      <family val="2"/>
      <charset val="1"/>
    </font>
    <font>
      <sz val="8"/>
      <name val="Calibri"/>
      <family val="2"/>
      <charset val="1"/>
    </font>
    <font>
      <sz val="11"/>
      <name val="Arial"/>
      <family val="2"/>
      <charset val="1"/>
    </font>
    <font>
      <i val="true"/>
      <sz val="12"/>
      <name val="Calibri"/>
      <family val="2"/>
      <charset val="1"/>
    </font>
    <font>
      <i val="true"/>
      <u val="single"/>
      <sz val="12"/>
      <name val="Calibri"/>
      <family val="2"/>
      <charset val="1"/>
    </font>
    <font>
      <u val="single"/>
      <sz val="10"/>
      <name val="Arial"/>
      <family val="2"/>
      <charset val="1"/>
    </font>
    <font>
      <sz val="9"/>
      <color rgb="FF000000"/>
      <name val="Tahoma"/>
      <family val="2"/>
      <charset val="1"/>
    </font>
    <font>
      <b val="true"/>
      <sz val="11"/>
      <color rgb="FF000000"/>
      <name val="Calibri"/>
      <family val="2"/>
    </font>
    <font>
      <sz val="14"/>
      <color rgb="FFFFFFFF"/>
      <name val="Arial"/>
      <family val="2"/>
      <charset val="1"/>
    </font>
    <font>
      <sz val="12"/>
      <name val="Arial"/>
      <family val="2"/>
      <charset val="1"/>
    </font>
    <font>
      <sz val="8"/>
      <name val="Arial"/>
      <family val="2"/>
      <charset val="1"/>
    </font>
    <font>
      <b val="true"/>
      <sz val="11"/>
      <color rgb="FFFF0000"/>
      <name val="Calibri"/>
      <family val="2"/>
      <charset val="1"/>
    </font>
    <font>
      <sz val="11"/>
      <color rgb="FFFF0000"/>
      <name val="Arial"/>
      <family val="2"/>
      <charset val="1"/>
    </font>
    <font>
      <b val="true"/>
      <sz val="9"/>
      <name val="Arial"/>
      <family val="2"/>
      <charset val="1"/>
    </font>
    <font>
      <b val="true"/>
      <sz val="8"/>
      <name val="Arial"/>
      <family val="2"/>
      <charset val="1"/>
    </font>
    <font>
      <b val="true"/>
      <sz val="8"/>
      <color rgb="FFFF0000"/>
      <name val="Calibri"/>
      <family val="2"/>
      <charset val="1"/>
    </font>
    <font>
      <b val="true"/>
      <sz val="7"/>
      <name val="Arial"/>
      <family val="2"/>
      <charset val="1"/>
    </font>
    <font>
      <i val="true"/>
      <sz val="10"/>
      <name val="Arial"/>
      <family val="2"/>
      <charset val="1"/>
    </font>
    <font>
      <sz val="10"/>
      <color rgb="FF000000"/>
      <name val="Arial"/>
      <family val="0"/>
    </font>
    <font>
      <b val="true"/>
      <sz val="10"/>
      <color rgb="FF000000"/>
      <name val="Calibri"/>
      <family val="2"/>
    </font>
    <font>
      <sz val="10"/>
      <color rgb="FF000000"/>
      <name val="Arial"/>
      <family val="2"/>
      <charset val="1"/>
    </font>
    <font>
      <b val="true"/>
      <sz val="10"/>
      <color rgb="FF000000"/>
      <name val="Arial"/>
      <family val="2"/>
      <charset val="1"/>
    </font>
    <font>
      <b val="true"/>
      <sz val="10.5"/>
      <name val="Arial Narrow"/>
      <family val="2"/>
      <charset val="1"/>
    </font>
    <font>
      <sz val="5"/>
      <color rgb="FFFF0000"/>
      <name val="Arial"/>
      <family val="2"/>
      <charset val="1"/>
    </font>
    <font>
      <b val="true"/>
      <sz val="10"/>
      <color theme="0" tint="-0.5"/>
      <name val="Arial"/>
      <family val="2"/>
      <charset val="1"/>
    </font>
    <font>
      <sz val="1"/>
      <color theme="0" tint="-0.25"/>
      <name val="Arial"/>
      <family val="2"/>
      <charset val="1"/>
    </font>
    <font>
      <sz val="10"/>
      <name val="Arial Narrow"/>
      <family val="2"/>
      <charset val="1"/>
    </font>
    <font>
      <sz val="10"/>
      <color theme="0" tint="-0.05"/>
      <name val="Arial"/>
      <family val="2"/>
      <charset val="1"/>
    </font>
    <font>
      <sz val="10"/>
      <color theme="0" tint="-0.25"/>
      <name val="Arial"/>
      <family val="2"/>
      <charset val="1"/>
    </font>
    <font>
      <sz val="9"/>
      <color rgb="FFFF0000"/>
      <name val="Arial Narrow"/>
      <family val="2"/>
      <charset val="1"/>
    </font>
    <font>
      <sz val="11"/>
      <name val="Arial Narrow"/>
      <family val="2"/>
      <charset val="1"/>
    </font>
    <font>
      <sz val="10"/>
      <color rgb="FFC0C0C0"/>
      <name val="Arial"/>
      <family val="2"/>
      <charset val="1"/>
    </font>
    <font>
      <b val="true"/>
      <sz val="12"/>
      <color rgb="FF000000"/>
      <name val="Arial"/>
      <family val="2"/>
      <charset val="1"/>
    </font>
    <font>
      <b val="true"/>
      <i val="true"/>
      <sz val="10"/>
      <name val="Arial"/>
      <family val="2"/>
      <charset val="1"/>
    </font>
    <font>
      <sz val="7"/>
      <color rgb="FFFF0000"/>
      <name val="Arial"/>
      <family val="2"/>
      <charset val="1"/>
    </font>
    <font>
      <b val="true"/>
      <sz val="10"/>
      <color rgb="FF000000"/>
      <name val="Arial"/>
      <family val="0"/>
    </font>
    <font>
      <b val="true"/>
      <sz val="9"/>
      <color rgb="FF000000"/>
      <name val="Tahoma"/>
      <family val="2"/>
      <charset val="1"/>
    </font>
    <font>
      <sz val="10.5"/>
      <name val="Arial Narrow"/>
      <family val="2"/>
      <charset val="1"/>
    </font>
    <font>
      <i val="true"/>
      <sz val="8"/>
      <name val="Arial"/>
      <family val="2"/>
      <charset val="1"/>
    </font>
    <font>
      <sz val="9"/>
      <color rgb="FF000000"/>
      <name val="Segoe UI"/>
      <family val="2"/>
      <charset val="1"/>
    </font>
    <font>
      <b val="true"/>
      <sz val="10"/>
      <color rgb="FFFFFFFF"/>
      <name val="Arial"/>
      <family val="2"/>
      <charset val="1"/>
    </font>
  </fonts>
  <fills count="18">
    <fill>
      <patternFill patternType="none"/>
    </fill>
    <fill>
      <patternFill patternType="gray125"/>
    </fill>
    <fill>
      <patternFill patternType="solid">
        <fgColor rgb="FFC0C0C0"/>
        <bgColor rgb="FFBFBFBF"/>
      </patternFill>
    </fill>
    <fill>
      <patternFill patternType="solid">
        <fgColor rgb="FF99CCFF"/>
        <bgColor rgb="FFCCCCFF"/>
      </patternFill>
    </fill>
    <fill>
      <patternFill patternType="solid">
        <fgColor rgb="FFFFFF99"/>
        <bgColor rgb="FFF2F2F2"/>
      </patternFill>
    </fill>
    <fill>
      <patternFill patternType="solid">
        <fgColor rgb="FFCCCCFF"/>
        <bgColor rgb="FFD9D9D9"/>
      </patternFill>
    </fill>
    <fill>
      <patternFill patternType="solid">
        <fgColor rgb="FFFFCC99"/>
        <bgColor rgb="FFD9D9D9"/>
      </patternFill>
    </fill>
    <fill>
      <patternFill patternType="solid">
        <fgColor rgb="FFFFCC00"/>
        <bgColor rgb="FFFFC000"/>
      </patternFill>
    </fill>
    <fill>
      <patternFill patternType="solid">
        <fgColor rgb="FF808080"/>
        <bgColor rgb="FF969696"/>
      </patternFill>
    </fill>
    <fill>
      <patternFill patternType="solid">
        <fgColor rgb="FFF0F0F0"/>
        <bgColor rgb="FFF2F2F2"/>
      </patternFill>
    </fill>
    <fill>
      <patternFill patternType="solid">
        <fgColor rgb="FFA8A8A8"/>
        <bgColor rgb="FF969696"/>
      </patternFill>
    </fill>
    <fill>
      <patternFill patternType="solid">
        <fgColor theme="0" tint="-0.25"/>
        <bgColor rgb="FFC0C0C0"/>
      </patternFill>
    </fill>
    <fill>
      <patternFill patternType="solid">
        <fgColor theme="0" tint="-0.15"/>
        <bgColor rgb="FFDFDFDF"/>
      </patternFill>
    </fill>
    <fill>
      <patternFill patternType="solid">
        <fgColor rgb="FFDFDFDF"/>
        <bgColor rgb="FFD9D9D9"/>
      </patternFill>
    </fill>
    <fill>
      <patternFill patternType="solid">
        <fgColor rgb="FFF2F2FF"/>
        <bgColor rgb="FFF3F3FF"/>
      </patternFill>
    </fill>
    <fill>
      <patternFill patternType="solid">
        <fgColor rgb="FFF3F3FF"/>
        <bgColor rgb="FFF2F2FF"/>
      </patternFill>
    </fill>
    <fill>
      <patternFill patternType="solid">
        <fgColor rgb="FF000000"/>
        <bgColor rgb="FF003300"/>
      </patternFill>
    </fill>
    <fill>
      <patternFill patternType="solid">
        <fgColor theme="0" tint="-0.05"/>
        <bgColor rgb="FFF0F0F0"/>
      </patternFill>
    </fill>
  </fills>
  <borders count="94">
    <border diagonalUp="false" diagonalDown="false">
      <left/>
      <right/>
      <top/>
      <bottom/>
      <diagonal/>
    </border>
    <border diagonalUp="false" diagonalDown="false">
      <left/>
      <right style="thin"/>
      <top/>
      <bottom/>
      <diagonal/>
    </border>
    <border diagonalUp="false" diagonalDown="false">
      <left/>
      <right style="thin"/>
      <top/>
      <bottom style="thin"/>
      <diagonal/>
    </border>
    <border diagonalUp="false" diagonalDown="false">
      <left/>
      <right/>
      <top/>
      <bottom style="thin"/>
      <diagonal/>
    </border>
    <border diagonalUp="false" diagonalDown="false">
      <left/>
      <right style="thin"/>
      <top style="thin"/>
      <bottom/>
      <diagonal/>
    </border>
    <border diagonalUp="false" diagonalDown="false">
      <left/>
      <right/>
      <top style="thin"/>
      <bottom/>
      <diagonal/>
    </border>
    <border diagonalUp="false" diagonalDown="false">
      <left style="medium"/>
      <right style="medium"/>
      <top style="medium"/>
      <bottom style="medium"/>
      <diagonal/>
    </border>
    <border diagonalUp="false" diagonalDown="false">
      <left style="thin"/>
      <right/>
      <top style="thin"/>
      <bottom/>
      <diagonal/>
    </border>
    <border diagonalUp="false" diagonalDown="false">
      <left style="thin"/>
      <right style="thin"/>
      <top style="thin"/>
      <bottom style="thin"/>
      <diagonal/>
    </border>
    <border diagonalUp="false" diagonalDown="false">
      <left style="thin"/>
      <right/>
      <top/>
      <bottom/>
      <diagonal/>
    </border>
    <border diagonalUp="false" diagonalDown="false">
      <left style="thin"/>
      <right/>
      <top/>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style="medium"/>
      <right style="hair"/>
      <top style="medium"/>
      <bottom style="hair"/>
      <diagonal/>
    </border>
    <border diagonalUp="false" diagonalDown="false">
      <left/>
      <right style="medium"/>
      <top style="medium"/>
      <bottom style="hair"/>
      <diagonal/>
    </border>
    <border diagonalUp="false" diagonalDown="false">
      <left style="medium"/>
      <right style="hair"/>
      <top/>
      <bottom style="hair"/>
      <diagonal/>
    </border>
    <border diagonalUp="false" diagonalDown="false">
      <left/>
      <right style="medium"/>
      <top/>
      <bottom style="hair"/>
      <diagonal/>
    </border>
    <border diagonalUp="false" diagonalDown="false">
      <left style="medium"/>
      <right style="hair"/>
      <top style="hair"/>
      <bottom style="hair"/>
      <diagonal/>
    </border>
    <border diagonalUp="false" diagonalDown="false">
      <left/>
      <right style="medium"/>
      <top style="hair"/>
      <bottom style="hair"/>
      <diagonal/>
    </border>
    <border diagonalUp="false" diagonalDown="false">
      <left style="medium"/>
      <right style="hair"/>
      <top/>
      <bottom style="medium"/>
      <diagonal/>
    </border>
    <border diagonalUp="false" diagonalDown="false">
      <left/>
      <right style="medium"/>
      <top/>
      <bottom style="medium"/>
      <diagonal/>
    </border>
    <border diagonalUp="false" diagonalDown="false">
      <left style="medium"/>
      <right style="hair"/>
      <top style="medium"/>
      <bottom/>
      <diagonal/>
    </border>
    <border diagonalUp="false" diagonalDown="false">
      <left style="hair"/>
      <right style="medium"/>
      <top style="medium"/>
      <bottom/>
      <diagonal/>
    </border>
    <border diagonalUp="false" diagonalDown="false">
      <left style="hair"/>
      <right style="medium"/>
      <top style="hair"/>
      <bottom style="hair"/>
      <diagonal/>
    </border>
    <border diagonalUp="false" diagonalDown="false">
      <left style="medium"/>
      <right style="hair"/>
      <top style="hair"/>
      <bottom style="medium"/>
      <diagonal/>
    </border>
    <border diagonalUp="false" diagonalDown="false">
      <left style="medium"/>
      <right style="hair"/>
      <top style="medium"/>
      <bottom style="medium"/>
      <diagonal/>
    </border>
    <border diagonalUp="false" diagonalDown="false">
      <left style="hair"/>
      <right style="medium"/>
      <top style="medium"/>
      <bottom style="medium"/>
      <diagonal/>
    </border>
    <border diagonalUp="false" diagonalDown="false">
      <left style="hair"/>
      <right style="medium"/>
      <top style="hair"/>
      <bottom style="medium"/>
      <diagonal/>
    </border>
    <border diagonalUp="false" diagonalDown="false">
      <left/>
      <right style="medium"/>
      <top style="hair"/>
      <bottom style="medium"/>
      <diagonal/>
    </border>
    <border diagonalUp="false" diagonalDown="false">
      <left style="thin"/>
      <right style="thin"/>
      <top/>
      <bottom/>
      <diagonal/>
    </border>
    <border diagonalUp="false" diagonalDown="false">
      <left style="thin"/>
      <right style="thin"/>
      <top style="thin"/>
      <bottom/>
      <diagonal/>
    </border>
    <border diagonalUp="false" diagonalDown="false">
      <left style="thin"/>
      <right/>
      <top/>
      <bottom style="hair"/>
      <diagonal/>
    </border>
    <border diagonalUp="false" diagonalDown="false">
      <left style="thin"/>
      <right style="thin"/>
      <top/>
      <bottom style="hair"/>
      <diagonal/>
    </border>
    <border diagonalUp="false" diagonalDown="false">
      <left style="thin"/>
      <right style="hair"/>
      <top style="thin"/>
      <bottom/>
      <diagonal/>
    </border>
    <border diagonalUp="false" diagonalDown="false">
      <left style="hair"/>
      <right style="thin"/>
      <top style="thin"/>
      <bottom/>
      <diagonal/>
    </border>
    <border diagonalUp="false" diagonalDown="false">
      <left style="thin"/>
      <right/>
      <top style="hair"/>
      <bottom style="hair"/>
      <diagonal/>
    </border>
    <border diagonalUp="false" diagonalDown="false">
      <left style="thin"/>
      <right style="hair"/>
      <top style="hair"/>
      <bottom style="hair"/>
      <diagonal/>
    </border>
    <border diagonalUp="false" diagonalDown="false">
      <left style="hair"/>
      <right style="hair"/>
      <top style="hair"/>
      <bottom style="hair"/>
      <diagonal/>
    </border>
    <border diagonalUp="false" diagonalDown="false">
      <left style="hair"/>
      <right style="thin"/>
      <top style="hair"/>
      <bottom style="hair"/>
      <diagonal/>
    </border>
    <border diagonalUp="false" diagonalDown="false">
      <left style="thin"/>
      <right style="thin"/>
      <top style="hair"/>
      <bottom style="hair"/>
      <diagonal/>
    </border>
    <border diagonalUp="false" diagonalDown="false">
      <left style="hair"/>
      <right style="hair"/>
      <top style="hair"/>
      <bottom/>
      <diagonal/>
    </border>
    <border diagonalUp="false" diagonalDown="false">
      <left style="hair"/>
      <right style="thin"/>
      <top style="hair"/>
      <bottom/>
      <diagonal/>
    </border>
    <border diagonalUp="false" diagonalDown="false">
      <left/>
      <right/>
      <top style="thin"/>
      <bottom style="thin"/>
      <diagonal/>
    </border>
    <border diagonalUp="false" diagonalDown="false">
      <left style="thin"/>
      <right style="hair"/>
      <top style="hair"/>
      <bottom style="thin"/>
      <diagonal/>
    </border>
    <border diagonalUp="false" diagonalDown="false">
      <left style="hair"/>
      <right style="thin"/>
      <top style="hair"/>
      <bottom style="thin"/>
      <diagonal/>
    </border>
    <border diagonalUp="false" diagonalDown="false">
      <left style="hair"/>
      <right style="hair"/>
      <top style="hair"/>
      <bottom style="thin"/>
      <diagonal/>
    </border>
    <border diagonalUp="false" diagonalDown="false">
      <left style="hair"/>
      <right style="hair"/>
      <top style="thin"/>
      <bottom style="thin"/>
      <diagonal/>
    </border>
    <border diagonalUp="false" diagonalDown="false">
      <left style="thin"/>
      <right style="hair"/>
      <top style="thin"/>
      <bottom style="thin"/>
      <diagonal/>
    </border>
    <border diagonalUp="false" diagonalDown="false">
      <left style="hair"/>
      <right style="thin"/>
      <top style="thin"/>
      <bottom style="thin"/>
      <diagonal/>
    </border>
    <border diagonalUp="false" diagonalDown="false">
      <left style="hair"/>
      <right style="hair"/>
      <top style="thin"/>
      <bottom/>
      <diagonal/>
    </border>
    <border diagonalUp="false" diagonalDown="false">
      <left style="thin"/>
      <right style="hair"/>
      <top style="thin"/>
      <bottom style="hair"/>
      <diagonal/>
    </border>
    <border diagonalUp="false" diagonalDown="false">
      <left style="hair"/>
      <right style="hair"/>
      <top style="thin"/>
      <bottom style="hair"/>
      <diagonal/>
    </border>
    <border diagonalUp="false" diagonalDown="false">
      <left style="hair"/>
      <right style="hair"/>
      <top/>
      <bottom style="thin"/>
      <diagonal/>
    </border>
    <border diagonalUp="false" diagonalDown="false">
      <left style="thin"/>
      <right style="hair"/>
      <top/>
      <bottom style="thin"/>
      <diagonal/>
    </border>
    <border diagonalUp="false" diagonalDown="false">
      <left style="hair"/>
      <right style="thin"/>
      <top/>
      <bottom style="thin"/>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top style="thin">
        <color rgb="FF808080"/>
      </top>
      <bottom style="thin">
        <color rgb="FF808080"/>
      </bottom>
      <diagonal/>
    </border>
    <border diagonalUp="false" diagonalDown="false">
      <left style="thin">
        <color rgb="FF808080"/>
      </left>
      <right/>
      <top style="thin">
        <color rgb="FF808080"/>
      </top>
      <bottom style="thin">
        <color rgb="FF808080"/>
      </bottom>
      <diagonal/>
    </border>
    <border diagonalUp="false" diagonalDown="false">
      <left/>
      <right style="thin">
        <color rgb="FF808080"/>
      </right>
      <top style="thin">
        <color rgb="FF808080"/>
      </top>
      <bottom style="thin">
        <color rgb="FF808080"/>
      </bottom>
      <diagonal/>
    </border>
    <border diagonalUp="false" diagonalDown="false">
      <left/>
      <right/>
      <top style="hair"/>
      <bottom style="hair"/>
      <diagonal/>
    </border>
    <border diagonalUp="false" diagonalDown="false">
      <left style="hair"/>
      <right/>
      <top style="hair"/>
      <bottom style="hair"/>
      <diagonal/>
    </border>
    <border diagonalUp="false" diagonalDown="false">
      <left/>
      <right style="hair"/>
      <top style="hair"/>
      <bottom style="hair"/>
      <diagonal/>
    </border>
    <border diagonalUp="false" diagonalDown="false">
      <left style="thin">
        <color rgb="FF808080"/>
      </left>
      <right style="hair"/>
      <top style="thin">
        <color rgb="FF808080"/>
      </top>
      <bottom style="thin">
        <color rgb="FF808080"/>
      </bottom>
      <diagonal/>
    </border>
    <border diagonalUp="false" diagonalDown="false">
      <left style="thin">
        <color rgb="FF808080"/>
      </left>
      <right/>
      <top style="thin">
        <color rgb="FF808080"/>
      </top>
      <bottom/>
      <diagonal/>
    </border>
    <border diagonalUp="false" diagonalDown="false">
      <left style="thin">
        <color theme="0" tint="-0.5"/>
      </left>
      <right/>
      <top/>
      <bottom/>
      <diagonal/>
    </border>
    <border diagonalUp="false" diagonalDown="false">
      <left/>
      <right/>
      <top style="thin">
        <color theme="0" tint="-0.5"/>
      </top>
      <bottom/>
      <diagonal/>
    </border>
    <border diagonalUp="false" diagonalDown="false">
      <left style="hair"/>
      <right style="hair"/>
      <top style="thin"/>
      <bottom style="hair">
        <color rgb="FF969696"/>
      </bottom>
      <diagonal/>
    </border>
    <border diagonalUp="false" diagonalDown="false">
      <left style="thin"/>
      <right/>
      <top style="hair"/>
      <bottom/>
      <diagonal/>
    </border>
    <border diagonalUp="false" diagonalDown="false">
      <left/>
      <right/>
      <top style="hair"/>
      <bottom/>
      <diagonal/>
    </border>
    <border diagonalUp="false" diagonalDown="false">
      <left/>
      <right style="thin"/>
      <top style="hair"/>
      <bottom/>
      <diagonal/>
    </border>
    <border diagonalUp="false" diagonalDown="false">
      <left style="hair"/>
      <right style="hair"/>
      <top style="hair">
        <color rgb="FF969696"/>
      </top>
      <bottom style="hair"/>
      <diagonal/>
    </border>
    <border diagonalUp="false" diagonalDown="false">
      <left/>
      <right/>
      <top/>
      <bottom style="hair"/>
      <diagonal/>
    </border>
    <border diagonalUp="false" diagonalDown="false">
      <left/>
      <right style="hair"/>
      <top/>
      <bottom/>
      <diagonal/>
    </border>
    <border diagonalUp="false" diagonalDown="false">
      <left/>
      <right style="hair"/>
      <top/>
      <bottom style="thin"/>
      <diagonal/>
    </border>
    <border diagonalUp="false" diagonalDown="false">
      <left style="hair"/>
      <right/>
      <top style="thin"/>
      <bottom/>
      <diagonal/>
    </border>
    <border diagonalUp="false" diagonalDown="false">
      <left style="hair"/>
      <right/>
      <top/>
      <bottom style="thin"/>
      <diagonal/>
    </border>
    <border diagonalUp="false" diagonalDown="false">
      <left style="thin"/>
      <right/>
      <top style="thin"/>
      <bottom style="hair"/>
      <diagonal/>
    </border>
    <border diagonalUp="false" diagonalDown="false">
      <left/>
      <right style="thin"/>
      <top style="thin"/>
      <bottom style="hair"/>
      <diagonal/>
    </border>
    <border diagonalUp="false" diagonalDown="false">
      <left style="hair"/>
      <right/>
      <top style="thin"/>
      <bottom style="hair"/>
      <diagonal/>
    </border>
    <border diagonalUp="false" diagonalDown="false">
      <left/>
      <right style="thin"/>
      <top style="hair"/>
      <bottom style="hair"/>
      <diagonal/>
    </border>
    <border diagonalUp="false" diagonalDown="false">
      <left style="thin"/>
      <right/>
      <top style="hair"/>
      <bottom style="thin"/>
      <diagonal/>
    </border>
    <border diagonalUp="false" diagonalDown="false">
      <left/>
      <right style="thin"/>
      <top style="hair"/>
      <bottom style="thin"/>
      <diagonal/>
    </border>
    <border diagonalUp="false" diagonalDown="false">
      <left/>
      <right style="hair"/>
      <top style="hair"/>
      <bottom/>
      <diagonal/>
    </border>
    <border diagonalUp="false" diagonalDown="false">
      <left/>
      <right style="hair"/>
      <top style="hair"/>
      <bottom style="thin"/>
      <diagonal/>
    </border>
    <border diagonalUp="false" diagonalDown="false">
      <left/>
      <right/>
      <top style="hair"/>
      <bottom style="thin"/>
      <diagonal/>
    </border>
    <border diagonalUp="false" diagonalDown="false">
      <left style="thin"/>
      <right style="thin"/>
      <top style="hair"/>
      <bottom/>
      <diagonal/>
    </border>
    <border diagonalUp="false" diagonalDown="false">
      <left style="thin"/>
      <right style="hair"/>
      <top style="hair"/>
      <bottom/>
      <diagonal/>
    </border>
    <border diagonalUp="false" diagonalDown="false">
      <left/>
      <right/>
      <top/>
      <bottom style="thin">
        <color rgb="FF808080"/>
      </bottom>
      <diagonal/>
    </border>
    <border diagonalUp="false" diagonalDown="false">
      <left/>
      <right style="thin"/>
      <top/>
      <bottom style="hair"/>
      <diagonal/>
    </border>
    <border diagonalUp="false" diagonalDown="false">
      <left style="thin"/>
      <right style="thin"/>
      <top style="thin"/>
      <bottom style="hair"/>
      <diagonal/>
    </border>
    <border diagonalUp="false" diagonalDown="false">
      <left/>
      <right/>
      <top style="thin"/>
      <bottom style="hair"/>
      <diagonal/>
    </border>
    <border diagonalUp="false" diagonalDown="false">
      <left style="hair"/>
      <right style="thin"/>
      <top style="thin"/>
      <bottom style="hair"/>
      <diagonal/>
    </border>
    <border diagonalUp="false" diagonalDown="false">
      <left style="thin"/>
      <right style="thin"/>
      <top style="hair"/>
      <bottom style="thin"/>
      <diagonal/>
    </border>
  </borders>
  <cellStyleXfs count="2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8"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190"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164" fontId="17"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6"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cellStyleXfs>
  <cellXfs count="783">
    <xf numFmtId="164" fontId="0" fillId="0" borderId="0" xfId="0" applyFont="fals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left"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left" vertical="bottom" textRotation="0" wrapText="false" indent="1" shrinkToFit="false"/>
      <protection locked="true" hidden="false"/>
    </xf>
    <xf numFmtId="164" fontId="0" fillId="0" borderId="3" xfId="0" applyFont="false" applyBorder="true" applyAlignment="true" applyProtection="false">
      <alignment horizontal="general" vertical="center"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left" vertical="bottom" textRotation="0" wrapText="false" indent="1"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left" vertical="bottom" textRotation="0" wrapText="false" indent="1" shrinkToFit="false"/>
      <protection locked="true" hidden="false"/>
    </xf>
    <xf numFmtId="164" fontId="10" fillId="0" borderId="0" xfId="0" applyFont="true" applyBorder="false" applyAlignment="true" applyProtection="false">
      <alignment horizontal="left" vertical="top" textRotation="0" wrapText="false" indent="1"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9" fillId="0" borderId="4" xfId="0" applyFont="true" applyBorder="true" applyAlignment="false" applyProtection="false">
      <alignment horizontal="general" vertical="bottom" textRotation="0" wrapText="false" indent="0" shrinkToFit="false"/>
      <protection locked="true" hidden="false"/>
    </xf>
    <xf numFmtId="164" fontId="8" fillId="0" borderId="5" xfId="0" applyFont="true" applyBorder="true" applyAlignment="true" applyProtection="false">
      <alignment horizontal="left" vertical="bottom" textRotation="0" wrapText="false" indent="1" shrinkToFit="false"/>
      <protection locked="true" hidden="false"/>
    </xf>
    <xf numFmtId="164" fontId="0" fillId="0" borderId="5" xfId="0" applyFont="false" applyBorder="tru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10" fillId="0" borderId="0" xfId="0" applyFont="true" applyBorder="false" applyAlignment="true" applyProtection="false">
      <alignment horizontal="left" vertical="bottom" textRotation="0" wrapText="true" indent="0" shrinkToFit="false"/>
      <protection locked="true" hidden="false"/>
    </xf>
    <xf numFmtId="164" fontId="0" fillId="0" borderId="0" xfId="0" applyFont="true" applyBorder="false" applyAlignment="true" applyProtection="false">
      <alignment horizontal="left" vertical="center" textRotation="0" wrapText="true" indent="0" shrinkToFit="false"/>
      <protection locked="true" hidden="false"/>
    </xf>
    <xf numFmtId="164" fontId="10" fillId="0" borderId="3" xfId="0" applyFont="true" applyBorder="true" applyAlignment="true" applyProtection="false">
      <alignment horizontal="left" vertical="bottom" textRotation="0" wrapText="false" indent="1" shrinkToFit="false"/>
      <protection locked="true" hidden="false"/>
    </xf>
    <xf numFmtId="164" fontId="10" fillId="0" borderId="3" xfId="0" applyFont="true" applyBorder="true" applyAlignment="true" applyProtection="false">
      <alignment horizontal="left" vertical="bottom" textRotation="0" wrapText="tru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true">
      <alignment horizontal="general" vertical="bottom" textRotation="0" wrapText="false" indent="0" shrinkToFit="false"/>
      <protection locked="false" hidden="false"/>
    </xf>
    <xf numFmtId="164" fontId="13" fillId="2" borderId="0" xfId="0" applyFont="true" applyBorder="false" applyAlignment="true" applyProtection="false">
      <alignment horizontal="general" vertical="center" textRotation="0" wrapText="false" indent="0" shrinkToFit="false"/>
      <protection locked="true" hidden="false"/>
    </xf>
    <xf numFmtId="164" fontId="14" fillId="2" borderId="0" xfId="0" applyFont="true" applyBorder="true" applyAlignment="true" applyProtection="false">
      <alignment horizontal="center" vertical="center" textRotation="0" wrapText="false" indent="0" shrinkToFit="false"/>
      <protection locked="true" hidden="false"/>
    </xf>
    <xf numFmtId="164" fontId="14" fillId="2" borderId="0" xfId="0" applyFont="true" applyBorder="false" applyAlignment="true" applyProtection="false">
      <alignment horizontal="general" vertical="top" textRotation="0" wrapText="false" indent="0" shrinkToFit="false"/>
      <protection locked="true" hidden="false"/>
    </xf>
    <xf numFmtId="164" fontId="15" fillId="0" borderId="0" xfId="0" applyFont="true" applyBorder="false" applyAlignment="true" applyProtection="true">
      <alignment horizontal="center" vertical="center" textRotation="0" wrapText="false" indent="0" shrinkToFit="false"/>
      <protection locked="false" hidden="false"/>
    </xf>
    <xf numFmtId="164" fontId="14" fillId="2" borderId="0" xfId="0" applyFont="true" applyBorder="false" applyAlignment="true" applyProtection="false">
      <alignment horizontal="center" vertical="top"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3" borderId="6" xfId="20" applyFont="true" applyBorder="true" applyAlignment="true" applyProtection="true">
      <alignment horizontal="center" vertical="center" textRotation="0" wrapText="false" indent="0" shrinkToFit="false"/>
      <protection locked="true" hidden="false"/>
    </xf>
    <xf numFmtId="164" fontId="0" fillId="2" borderId="0" xfId="0" applyFont="false" applyBorder="false" applyAlignment="true" applyProtection="false">
      <alignment horizontal="center" vertical="center" textRotation="0" wrapText="fals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13" fillId="0" borderId="8" xfId="0" applyFont="true" applyBorder="true" applyAlignment="true" applyProtection="false">
      <alignment horizontal="center" vertical="center" textRotation="0" wrapText="fals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general" vertical="center" textRotation="0" wrapText="false" indent="0" shrinkToFit="false"/>
      <protection locked="true" hidden="false"/>
    </xf>
    <xf numFmtId="164" fontId="19" fillId="3" borderId="6" xfId="20" applyFont="true" applyBorder="true" applyAlignment="true" applyProtection="true">
      <alignment horizontal="center" vertical="center" textRotation="0" wrapText="false" indent="0" shrinkToFit="false"/>
      <protection locked="true" hidden="false"/>
    </xf>
    <xf numFmtId="164" fontId="20" fillId="3" borderId="6" xfId="20" applyFont="true" applyBorder="true" applyAlignment="true" applyProtection="true">
      <alignment horizontal="center" vertical="center"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center" textRotation="0" wrapText="false" indent="0" shrinkToFit="false"/>
      <protection locked="true" hidden="false"/>
    </xf>
    <xf numFmtId="164" fontId="21" fillId="3" borderId="6" xfId="20" applyFont="true" applyBorder="true" applyAlignment="true" applyProtection="true">
      <alignment horizontal="center" vertical="center" textRotation="0" wrapText="false" indent="0" shrinkToFit="false"/>
      <protection locked="true" hidden="false"/>
    </xf>
    <xf numFmtId="164" fontId="0" fillId="5" borderId="0" xfId="0" applyFont="false" applyBorder="false" applyAlignment="true" applyProtection="false">
      <alignment horizontal="general" vertical="center"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6" borderId="0" xfId="0" applyFont="false" applyBorder="false" applyAlignment="true" applyProtection="false">
      <alignment horizontal="general" vertical="center" textRotation="0" wrapText="false" indent="0" shrinkToFit="false"/>
      <protection locked="true" hidden="false"/>
    </xf>
    <xf numFmtId="164" fontId="0" fillId="0" borderId="10" xfId="0" applyFont="false" applyBorder="true" applyAlignment="false" applyProtection="false">
      <alignment horizontal="general" vertical="bottom"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18" fillId="3" borderId="6" xfId="2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20" fillId="0" borderId="0" xfId="0" applyFont="true" applyBorder="fals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18" fillId="0" borderId="12" xfId="0" applyFont="true" applyBorder="true" applyAlignment="true" applyProtection="false">
      <alignment horizontal="center" vertical="bottom" textRotation="0" wrapText="false" indent="0" shrinkToFit="false"/>
      <protection locked="true" hidden="false"/>
    </xf>
    <xf numFmtId="164" fontId="18" fillId="0" borderId="11" xfId="0" applyFont="true" applyBorder="true" applyAlignment="false" applyProtection="false">
      <alignment horizontal="general" vertical="bottom" textRotation="0" wrapText="false" indent="0" shrinkToFit="false"/>
      <protection locked="true" hidden="false"/>
    </xf>
    <xf numFmtId="164" fontId="18" fillId="0" borderId="12" xfId="0" applyFont="true" applyBorder="true" applyAlignment="false" applyProtection="false">
      <alignment horizontal="general" vertical="bottom" textRotation="0" wrapText="false" indent="0" shrinkToFit="false"/>
      <protection locked="true" hidden="false"/>
    </xf>
    <xf numFmtId="164" fontId="18" fillId="0" borderId="13" xfId="0" applyFont="true" applyBorder="true" applyAlignment="true" applyProtection="false">
      <alignment horizontal="left" vertical="bottom" textRotation="0" wrapText="false" indent="0" shrinkToFit="false"/>
      <protection locked="true" hidden="false"/>
    </xf>
    <xf numFmtId="164" fontId="18" fillId="0" borderId="13" xfId="0" applyFont="true" applyBorder="true" applyAlignment="true" applyProtection="false">
      <alignment horizontal="center" vertical="bottom" textRotation="0" wrapText="false" indent="0" shrinkToFit="false"/>
      <protection locked="true" hidden="false"/>
    </xf>
    <xf numFmtId="164" fontId="18" fillId="0" borderId="0" xfId="0" applyFont="true" applyBorder="false" applyAlignment="true" applyProtection="false">
      <alignment horizontal="left" vertical="bottom" textRotation="0" wrapText="false" indent="0" shrinkToFit="false"/>
      <protection locked="true" hidden="false"/>
    </xf>
    <xf numFmtId="164" fontId="18" fillId="0" borderId="0" xfId="0" applyFont="true" applyBorder="false" applyAlignment="true" applyProtection="false">
      <alignment horizontal="center" vertical="bottom" textRotation="0" wrapText="false" indent="0" shrinkToFit="false"/>
      <protection locked="true" hidden="false"/>
    </xf>
    <xf numFmtId="164" fontId="10" fillId="0" borderId="6" xfId="0" applyFont="true" applyBorder="true" applyAlignment="true" applyProtection="false">
      <alignment horizontal="center" vertical="center"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0" fillId="0" borderId="14" xfId="0" applyFont="true" applyBorder="true" applyAlignment="true" applyProtection="false">
      <alignment horizontal="general" vertical="center" textRotation="0" wrapText="false" indent="0" shrinkToFit="false"/>
      <protection locked="true" hidden="false"/>
    </xf>
    <xf numFmtId="164" fontId="0" fillId="5" borderId="15" xfId="0" applyFont="true" applyBorder="true" applyAlignment="true" applyProtection="true">
      <alignment horizontal="general" vertical="center" textRotation="0" wrapText="false" indent="0" shrinkToFit="false"/>
      <protection locked="fals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0" fillId="0" borderId="16" xfId="0" applyFont="true" applyBorder="true" applyAlignment="true" applyProtection="false">
      <alignment horizontal="general" vertical="center" textRotation="0" wrapText="false" indent="0" shrinkToFit="false"/>
      <protection locked="true" hidden="false"/>
    </xf>
    <xf numFmtId="168" fontId="0" fillId="4" borderId="17" xfId="0" applyFont="true" applyBorder="true" applyAlignment="true" applyProtection="true">
      <alignment horizontal="general" vertical="center" textRotation="0" wrapText="false" indent="0" shrinkToFit="false"/>
      <protection locked="false" hidden="false"/>
    </xf>
    <xf numFmtId="164" fontId="0" fillId="0" borderId="18" xfId="0" applyFont="true" applyBorder="true" applyAlignment="true" applyProtection="false">
      <alignment horizontal="general" vertical="center" textRotation="0" wrapText="false" indent="0" shrinkToFit="false"/>
      <protection locked="true" hidden="false"/>
    </xf>
    <xf numFmtId="168" fontId="0" fillId="4" borderId="19" xfId="0" applyFont="false" applyBorder="true" applyAlignment="true" applyProtection="true">
      <alignment horizontal="general" vertical="center" textRotation="0" wrapText="false" indent="0" shrinkToFit="false"/>
      <protection locked="false" hidden="false"/>
    </xf>
    <xf numFmtId="169" fontId="0" fillId="4" borderId="19" xfId="0" applyFont="false" applyBorder="true" applyAlignment="true" applyProtection="true">
      <alignment horizontal="left" vertical="center" textRotation="0" wrapText="false" indent="0" shrinkToFit="false"/>
      <protection locked="false" hidden="false"/>
    </xf>
    <xf numFmtId="170" fontId="0" fillId="4" borderId="19" xfId="0" applyFont="false" applyBorder="true" applyAlignment="true" applyProtection="true">
      <alignment horizontal="left" vertical="center" textRotation="0" wrapText="false" indent="0" shrinkToFit="false"/>
      <protection locked="false" hidden="false"/>
    </xf>
    <xf numFmtId="164" fontId="0" fillId="0" borderId="20" xfId="0" applyFont="true" applyBorder="true" applyAlignment="true" applyProtection="false">
      <alignment horizontal="general" vertical="center" textRotation="0" wrapText="false" indent="0" shrinkToFit="false"/>
      <protection locked="true" hidden="false"/>
    </xf>
    <xf numFmtId="170" fontId="0" fillId="4" borderId="21" xfId="0" applyFont="false" applyBorder="true" applyAlignment="true" applyProtection="true">
      <alignment horizontal="left" vertical="center" textRotation="0" wrapText="false" indent="0" shrinkToFit="false"/>
      <protection locked="false" hidden="false"/>
    </xf>
    <xf numFmtId="170" fontId="0" fillId="0" borderId="0" xfId="0" applyFont="false" applyBorder="false" applyAlignment="true" applyProtection="false">
      <alignment horizontal="left" vertical="center" textRotation="0" wrapText="false" indent="0" shrinkToFit="false"/>
      <protection locked="true" hidden="false"/>
    </xf>
    <xf numFmtId="164" fontId="0" fillId="0" borderId="22" xfId="0" applyFont="true" applyBorder="true" applyAlignment="true" applyProtection="false">
      <alignment horizontal="general" vertical="center" textRotation="0" wrapText="false" indent="0" shrinkToFit="false"/>
      <protection locked="true" hidden="false"/>
    </xf>
    <xf numFmtId="168" fontId="0" fillId="4" borderId="23" xfId="0" applyFont="true" applyBorder="true" applyAlignment="true" applyProtection="true">
      <alignment horizontal="general" vertical="center" textRotation="0" wrapText="true" indent="0" shrinkToFit="false"/>
      <protection locked="false" hidden="false"/>
    </xf>
    <xf numFmtId="168" fontId="0" fillId="4" borderId="24" xfId="0" applyFont="false" applyBorder="true" applyAlignment="true" applyProtection="true">
      <alignment horizontal="general" vertical="center" textRotation="0" wrapText="true" indent="0" shrinkToFit="false"/>
      <protection locked="false" hidden="false"/>
    </xf>
    <xf numFmtId="164" fontId="0" fillId="5" borderId="24" xfId="0" applyFont="true" applyBorder="true" applyAlignment="true" applyProtection="true">
      <alignment horizontal="general" vertical="center" textRotation="0" wrapText="false" indent="0" shrinkToFit="false"/>
      <protection locked="false" hidden="false"/>
    </xf>
    <xf numFmtId="164" fontId="0" fillId="0" borderId="25" xfId="0" applyFont="true" applyBorder="true" applyAlignment="true" applyProtection="false">
      <alignment horizontal="general" vertical="center" textRotation="0" wrapText="false" indent="0" shrinkToFit="false"/>
      <protection locked="true" hidden="false"/>
    </xf>
    <xf numFmtId="171" fontId="0" fillId="4" borderId="21" xfId="0" applyFont="false" applyBorder="true" applyAlignment="true" applyProtection="true">
      <alignment horizontal="left" vertical="center" textRotation="0" wrapText="false" indent="0" shrinkToFit="false"/>
      <protection locked="false" hidden="false"/>
    </xf>
    <xf numFmtId="169" fontId="0" fillId="0" borderId="0" xfId="0" applyFont="false" applyBorder="false" applyAlignment="true" applyProtection="false">
      <alignment horizontal="general" vertical="center" textRotation="0" wrapText="false" indent="0" shrinkToFit="false"/>
      <protection locked="true" hidden="false"/>
    </xf>
    <xf numFmtId="164" fontId="0" fillId="4" borderId="17" xfId="0" applyFont="true" applyBorder="true" applyAlignment="true" applyProtection="true">
      <alignment horizontal="general" vertical="center" textRotation="0" wrapText="false" indent="0" shrinkToFit="false"/>
      <protection locked="false" hidden="false"/>
    </xf>
    <xf numFmtId="172" fontId="0" fillId="4" borderId="21" xfId="0" applyFont="false" applyBorder="true" applyAlignment="true" applyProtection="true">
      <alignment horizontal="left" vertical="center" textRotation="0" wrapText="false" indent="0" shrinkToFit="false"/>
      <protection locked="false" hidden="false"/>
    </xf>
    <xf numFmtId="164" fontId="0" fillId="4" borderId="15" xfId="0" applyFont="true" applyBorder="true" applyAlignment="true" applyProtection="true">
      <alignment horizontal="general" vertical="center" textRotation="0" wrapText="false" indent="0" shrinkToFit="false"/>
      <protection locked="false" hidden="false"/>
    </xf>
    <xf numFmtId="164" fontId="0" fillId="4" borderId="21" xfId="0" applyFont="true" applyBorder="true" applyAlignment="true" applyProtection="true">
      <alignment horizontal="general" vertical="center" textRotation="0" wrapText="false" indent="0" shrinkToFit="false"/>
      <protection locked="false" hidden="false"/>
    </xf>
    <xf numFmtId="164" fontId="0" fillId="0" borderId="26" xfId="0" applyFont="true" applyBorder="true" applyAlignment="true" applyProtection="false">
      <alignment horizontal="general" vertical="center" textRotation="0" wrapText="false" indent="0" shrinkToFit="false"/>
      <protection locked="true" hidden="false"/>
    </xf>
    <xf numFmtId="164" fontId="0" fillId="5" borderId="27" xfId="0" applyFont="true" applyBorder="true" applyAlignment="true" applyProtection="true">
      <alignment horizontal="general" vertical="center" textRotation="0" wrapText="false" indent="0" shrinkToFit="false"/>
      <protection locked="false" hidden="false"/>
    </xf>
    <xf numFmtId="172" fontId="0" fillId="4" borderId="15" xfId="0" applyFont="false" applyBorder="true" applyAlignment="true" applyProtection="true">
      <alignment horizontal="left" vertical="center" textRotation="0" wrapText="false" indent="0" shrinkToFit="false"/>
      <protection locked="false" hidden="false"/>
    </xf>
    <xf numFmtId="171" fontId="0" fillId="4" borderId="28" xfId="0" applyFont="false" applyBorder="true" applyAlignment="true" applyProtection="true">
      <alignment horizontal="left" vertical="center" textRotation="0" wrapText="false" indent="0" shrinkToFit="false"/>
      <protection locked="false" hidden="false"/>
    </xf>
    <xf numFmtId="172" fontId="0" fillId="4" borderId="29" xfId="0" applyFont="false" applyBorder="true" applyAlignment="true" applyProtection="true">
      <alignment horizontal="left" vertical="center" textRotation="0" wrapText="false" indent="0" shrinkToFit="false"/>
      <protection locked="false" hidden="false"/>
    </xf>
    <xf numFmtId="168" fontId="0" fillId="4" borderId="15" xfId="0" applyFont="false" applyBorder="true" applyAlignment="true" applyProtection="true">
      <alignment horizontal="general" vertical="center" textRotation="0" wrapText="false" indent="0" shrinkToFit="false"/>
      <protection locked="false" hidden="false"/>
    </xf>
    <xf numFmtId="168" fontId="0" fillId="4" borderId="29" xfId="0" applyFont="false" applyBorder="true" applyAlignment="true" applyProtection="true">
      <alignment horizontal="general" vertical="center" textRotation="0" wrapText="false" indent="0" shrinkToFit="false"/>
      <protection locked="false" hidden="false"/>
    </xf>
    <xf numFmtId="168" fontId="0" fillId="4" borderId="21" xfId="0" applyFont="false" applyBorder="true" applyAlignment="true" applyProtection="true">
      <alignment horizontal="general" vertical="center" textRotation="0" wrapText="false" indent="0" shrinkToFit="false"/>
      <protection locked="false" hidden="false"/>
    </xf>
    <xf numFmtId="164" fontId="0" fillId="0" borderId="0" xfId="22" applyFont="true" applyBorder="false" applyAlignment="false" applyProtection="false">
      <alignment horizontal="general" vertical="bottom" textRotation="0" wrapText="false" indent="0" shrinkToFit="false"/>
      <protection locked="true" hidden="false"/>
    </xf>
    <xf numFmtId="164" fontId="18" fillId="0" borderId="0" xfId="22" applyFont="true" applyBorder="false" applyAlignment="true" applyProtection="false">
      <alignment horizontal="center" vertical="bottom" textRotation="0" wrapText="false" indent="0" shrinkToFit="false"/>
      <protection locked="true" hidden="false"/>
    </xf>
    <xf numFmtId="164" fontId="20" fillId="0" borderId="0" xfId="22" applyFont="true" applyBorder="false" applyAlignment="true" applyProtection="false">
      <alignment horizontal="center" vertical="bottom" textRotation="0" wrapText="false" indent="0" shrinkToFit="false"/>
      <protection locked="true" hidden="false"/>
    </xf>
    <xf numFmtId="164" fontId="0" fillId="0" borderId="30" xfId="0" applyFont="true" applyBorder="true" applyAlignment="true" applyProtection="false">
      <alignment horizontal="center" vertical="bottom" textRotation="0" wrapText="false" indent="0" shrinkToFit="false"/>
      <protection locked="true" hidden="false"/>
    </xf>
    <xf numFmtId="164" fontId="18" fillId="0" borderId="8" xfId="22" applyFont="true" applyBorder="true" applyAlignment="true" applyProtection="false">
      <alignment horizontal="center" vertical="bottom" textRotation="0" wrapText="false" indent="0" shrinkToFit="false"/>
      <protection locked="true" hidden="false"/>
    </xf>
    <xf numFmtId="170" fontId="28" fillId="0" borderId="8" xfId="22" applyFont="true" applyBorder="true" applyAlignment="true" applyProtection="false">
      <alignment horizontal="center" vertical="bottom" textRotation="0" wrapText="false" indent="0" shrinkToFit="false"/>
      <protection locked="true" hidden="false"/>
    </xf>
    <xf numFmtId="164" fontId="18" fillId="0" borderId="30" xfId="25" applyFont="true" applyBorder="true" applyAlignment="true" applyProtection="false">
      <alignment horizontal="left" vertical="top" textRotation="0" wrapText="false" indent="0" shrinkToFit="false"/>
      <protection locked="true" hidden="false"/>
    </xf>
    <xf numFmtId="164" fontId="0" fillId="0" borderId="13" xfId="22" applyFont="true" applyBorder="true" applyAlignment="true" applyProtection="false">
      <alignment horizontal="left" vertical="top" textRotation="0" wrapText="true" indent="0" shrinkToFit="false"/>
      <protection locked="true" hidden="false"/>
    </xf>
    <xf numFmtId="164" fontId="29" fillId="0" borderId="0" xfId="0" applyFont="true" applyBorder="true" applyAlignment="true" applyProtection="false">
      <alignment horizontal="center" vertical="bottom" textRotation="90" wrapText="false" indent="0" shrinkToFit="false"/>
      <protection locked="true" hidden="false"/>
    </xf>
    <xf numFmtId="164" fontId="18" fillId="0" borderId="0" xfId="22" applyFont="true" applyBorder="false" applyAlignment="false" applyProtection="false">
      <alignment horizontal="general" vertical="bottom" textRotation="0" wrapText="false" indent="0" shrinkToFit="false"/>
      <protection locked="true" hidden="false"/>
    </xf>
    <xf numFmtId="164" fontId="18" fillId="0" borderId="8" xfId="22" applyFont="true" applyBorder="true" applyAlignment="true" applyProtection="false">
      <alignment horizontal="center" vertical="center" textRotation="0" wrapText="true" indent="0" shrinkToFit="false"/>
      <protection locked="true" hidden="false"/>
    </xf>
    <xf numFmtId="164" fontId="5" fillId="0" borderId="13" xfId="21" applyFont="true" applyBorder="true" applyAlignment="true" applyProtection="true">
      <alignment horizontal="left" vertical="bottom" textRotation="0" wrapText="true" indent="0" shrinkToFit="false"/>
      <protection locked="true" hidden="false"/>
    </xf>
    <xf numFmtId="164" fontId="5" fillId="0" borderId="8" xfId="22" applyFont="true" applyBorder="true" applyAlignment="true" applyProtection="false">
      <alignment horizontal="left" vertical="bottom" textRotation="0" wrapText="true" indent="0" shrinkToFit="false"/>
      <protection locked="true" hidden="false"/>
    </xf>
    <xf numFmtId="170" fontId="5" fillId="4" borderId="8" xfId="22" applyFont="true" applyBorder="true" applyAlignment="true" applyProtection="true">
      <alignment horizontal="center" vertical="bottom" textRotation="0" wrapText="false" indent="0" shrinkToFit="false"/>
      <protection locked="fals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73" fontId="31" fillId="0" borderId="0" xfId="0" applyFont="true" applyBorder="false" applyAlignment="true" applyProtection="false">
      <alignment horizontal="center" vertical="center" textRotation="0" wrapText="false" indent="0" shrinkToFit="false"/>
      <protection locked="true" hidden="false"/>
    </xf>
    <xf numFmtId="164" fontId="5" fillId="0" borderId="8" xfId="22" applyFont="true" applyBorder="true" applyAlignment="true" applyProtection="false">
      <alignment horizontal="left" vertical="bottom" textRotation="0" wrapText="false" indent="0" shrinkToFit="false"/>
      <protection locked="true" hidden="false"/>
    </xf>
    <xf numFmtId="164" fontId="5" fillId="0" borderId="0" xfId="22" applyFont="true" applyBorder="false" applyAlignment="true" applyProtection="false">
      <alignment horizontal="left" vertical="bottom" textRotation="0" wrapText="false" indent="0" shrinkToFit="false"/>
      <protection locked="true" hidden="false"/>
    </xf>
    <xf numFmtId="164" fontId="20" fillId="0" borderId="8" xfId="22" applyFont="true" applyBorder="true" applyAlignment="true" applyProtection="false">
      <alignment horizontal="center" vertical="bottom" textRotation="0" wrapText="false" indent="0" shrinkToFit="false"/>
      <protection locked="true" hidden="false"/>
    </xf>
    <xf numFmtId="165" fontId="5" fillId="5" borderId="13" xfId="21" applyFont="true" applyBorder="true" applyAlignment="true" applyProtection="true">
      <alignment horizontal="left" vertical="bottom" textRotation="0" wrapText="false" indent="0" shrinkToFit="false"/>
      <protection locked="false" hidden="false"/>
    </xf>
    <xf numFmtId="164" fontId="21" fillId="0" borderId="8" xfId="22" applyFont="true" applyBorder="true" applyAlignment="true" applyProtection="false">
      <alignment horizontal="center" vertical="center" textRotation="0" wrapText="false" indent="0" shrinkToFit="false"/>
      <protection locked="true" hidden="false"/>
    </xf>
    <xf numFmtId="169" fontId="21" fillId="0" borderId="8" xfId="22" applyFont="true" applyBorder="true" applyAlignment="true" applyProtection="false">
      <alignment horizontal="center" vertical="center" textRotation="0" wrapText="true" indent="0" shrinkToFit="false"/>
      <protection locked="true" hidden="false"/>
    </xf>
    <xf numFmtId="164" fontId="18" fillId="0" borderId="8" xfId="22" applyFont="true" applyBorder="true" applyAlignment="true" applyProtection="false">
      <alignment horizontal="center" vertical="center" textRotation="0" wrapText="false" indent="0" shrinkToFit="false"/>
      <protection locked="true" hidden="false"/>
    </xf>
    <xf numFmtId="164" fontId="0" fillId="0" borderId="8" xfId="22" applyFont="true" applyBorder="true" applyAlignment="true" applyProtection="false">
      <alignment horizontal="center" vertical="center" textRotation="0" wrapText="true" indent="0" shrinkToFit="false"/>
      <protection locked="true" hidden="false"/>
    </xf>
    <xf numFmtId="164" fontId="32" fillId="0" borderId="8" xfId="22" applyFont="true" applyBorder="true" applyAlignment="true" applyProtection="false">
      <alignment horizontal="center" vertical="center" textRotation="0" wrapText="false" indent="0" shrinkToFit="false"/>
      <protection locked="true" hidden="false"/>
    </xf>
    <xf numFmtId="170" fontId="32" fillId="4" borderId="8" xfId="22" applyFont="true" applyBorder="true" applyAlignment="true" applyProtection="true">
      <alignment horizontal="center" vertical="center" textRotation="0" wrapText="false" indent="0" shrinkToFit="false"/>
      <protection locked="false" hidden="false"/>
    </xf>
    <xf numFmtId="164" fontId="26" fillId="0" borderId="0" xfId="0" applyFont="true" applyBorder="false" applyAlignment="true" applyProtection="false">
      <alignment horizontal="general" vertical="center" textRotation="0" wrapText="false" indent="0" shrinkToFit="false"/>
      <protection locked="true" hidden="false"/>
    </xf>
    <xf numFmtId="169" fontId="32" fillId="0" borderId="8" xfId="22" applyFont="true" applyBorder="true" applyAlignment="true" applyProtection="false">
      <alignment horizontal="center" vertical="center" textRotation="0" wrapText="false" indent="0" shrinkToFit="false"/>
      <protection locked="true" hidden="false"/>
    </xf>
    <xf numFmtId="170" fontId="32" fillId="0" borderId="8" xfId="22" applyFont="true" applyBorder="true" applyAlignment="true" applyProtection="false">
      <alignment horizontal="center" vertical="center" textRotation="0" wrapText="false" indent="0" shrinkToFit="false"/>
      <protection locked="true" hidden="false"/>
    </xf>
    <xf numFmtId="170" fontId="32" fillId="0" borderId="8" xfId="22" applyFont="true" applyBorder="true" applyAlignment="true" applyProtection="false">
      <alignment horizontal="center" vertical="center" textRotation="0" wrapText="true" indent="0" shrinkToFit="false"/>
      <protection locked="true" hidden="false"/>
    </xf>
    <xf numFmtId="164" fontId="32" fillId="0" borderId="8" xfId="22" applyFont="true" applyBorder="true" applyAlignment="true" applyProtection="false">
      <alignment horizontal="center" vertical="center" textRotation="0" wrapText="true" indent="0" shrinkToFit="false"/>
      <protection locked="true" hidden="false"/>
    </xf>
    <xf numFmtId="164" fontId="32" fillId="2" borderId="8" xfId="22" applyFont="true" applyBorder="true" applyAlignment="true" applyProtection="false">
      <alignment horizontal="center" vertical="center" textRotation="0" wrapText="true" indent="0" shrinkToFit="false"/>
      <protection locked="true" hidden="false"/>
    </xf>
    <xf numFmtId="170" fontId="21" fillId="2" borderId="8" xfId="22" applyFont="true" applyBorder="true" applyAlignment="true" applyProtection="false">
      <alignment horizontal="center" vertical="center" textRotation="0" wrapText="false" indent="0" shrinkToFit="false"/>
      <protection locked="true" hidden="false"/>
    </xf>
    <xf numFmtId="164" fontId="25" fillId="0" borderId="0" xfId="22" applyFont="true" applyBorder="false" applyAlignment="true" applyProtection="false">
      <alignment horizontal="right" vertical="center" textRotation="0" wrapText="false" indent="0" shrinkToFit="false"/>
      <protection locked="true" hidden="false"/>
    </xf>
    <xf numFmtId="164" fontId="26" fillId="0" borderId="0" xfId="22" applyFont="true" applyBorder="true" applyAlignment="true" applyProtection="false">
      <alignment horizontal="left" vertical="center" textRotation="0" wrapText="false" indent="1" shrinkToFit="false"/>
      <protection locked="true" hidden="false"/>
    </xf>
    <xf numFmtId="164" fontId="0" fillId="0" borderId="0" xfId="22" applyFont="true" applyBorder="true" applyAlignment="true" applyProtection="false">
      <alignment horizontal="center" vertical="center" textRotation="0" wrapText="false" indent="0" shrinkToFit="false"/>
      <protection locked="true" hidden="false"/>
    </xf>
    <xf numFmtId="164" fontId="0" fillId="0" borderId="0" xfId="22" applyFont="true" applyBorder="false" applyAlignment="true" applyProtection="false">
      <alignment horizontal="center" vertical="top" textRotation="0" wrapText="false" indent="0" shrinkToFit="false"/>
      <protection locked="true" hidden="false"/>
    </xf>
    <xf numFmtId="164" fontId="33" fillId="0" borderId="0" xfId="0" applyFont="true" applyBorder="true" applyAlignment="true" applyProtection="false">
      <alignment horizontal="right" vertical="center" textRotation="0" wrapText="false" indent="0" shrinkToFit="false"/>
      <protection locked="true" hidden="false"/>
    </xf>
    <xf numFmtId="164" fontId="34" fillId="0" borderId="0" xfId="0" applyFont="true" applyBorder="true" applyAlignment="true" applyProtection="false">
      <alignment horizontal="center" vertical="bottom" textRotation="0" wrapText="false" indent="0" shrinkToFit="false"/>
      <protection locked="true" hidden="false"/>
    </xf>
    <xf numFmtId="164" fontId="33" fillId="0" borderId="0" xfId="0" applyFont="true" applyBorder="true" applyAlignment="true" applyProtection="false">
      <alignment horizontal="left" vertical="center" textRotation="0" wrapText="false" indent="0" shrinkToFit="false"/>
      <protection locked="true" hidden="false"/>
    </xf>
    <xf numFmtId="164" fontId="33" fillId="0" borderId="0" xfId="0" applyFont="true" applyBorder="true" applyAlignment="true" applyProtection="false">
      <alignment horizontal="center" vertical="top" textRotation="0" wrapText="false" indent="0" shrinkToFit="false"/>
      <protection locked="true" hidden="false"/>
    </xf>
    <xf numFmtId="164" fontId="35" fillId="0" borderId="0" xfId="22" applyFont="true" applyBorder="false" applyAlignment="true" applyProtection="false">
      <alignment horizontal="center" vertical="top" textRotation="0" wrapText="false" indent="0" shrinkToFit="false"/>
      <protection locked="true" hidden="false"/>
    </xf>
    <xf numFmtId="164" fontId="5" fillId="0" borderId="8" xfId="22" applyFont="true" applyBorder="true" applyAlignment="true" applyProtection="false">
      <alignment horizontal="left" vertical="center" textRotation="0" wrapText="true" indent="0" shrinkToFit="false"/>
      <protection locked="true" hidden="false"/>
    </xf>
    <xf numFmtId="168" fontId="0" fillId="4" borderId="8" xfId="22" applyFont="true" applyBorder="true" applyAlignment="true" applyProtection="true">
      <alignment horizontal="left" vertical="top" textRotation="0" wrapText="true" indent="0" shrinkToFit="false"/>
      <protection locked="false" hidden="false"/>
    </xf>
    <xf numFmtId="174" fontId="0" fillId="0" borderId="3" xfId="22" applyFont="true" applyBorder="true" applyAlignment="true" applyProtection="false">
      <alignment horizontal="left" vertical="bottom" textRotation="0" wrapText="false" indent="0" shrinkToFit="false"/>
      <protection locked="true" hidden="false"/>
    </xf>
    <xf numFmtId="175" fontId="0" fillId="0" borderId="3" xfId="22" applyFont="true" applyBorder="true" applyAlignment="true" applyProtection="false">
      <alignment horizontal="left" vertical="bottom" textRotation="0" wrapText="false" indent="0" shrinkToFit="false"/>
      <protection locked="true" hidden="false"/>
    </xf>
    <xf numFmtId="164" fontId="18" fillId="0" borderId="0" xfId="22" applyFont="true" applyBorder="true" applyAlignment="true" applyProtection="false">
      <alignment horizontal="left" vertical="center" textRotation="0" wrapText="false" indent="0" shrinkToFit="false"/>
      <protection locked="true" hidden="false"/>
    </xf>
    <xf numFmtId="176" fontId="0" fillId="0" borderId="0" xfId="22" applyFont="true" applyBorder="false" applyAlignment="false" applyProtection="false">
      <alignment horizontal="general" vertical="bottom" textRotation="0" wrapText="false" indent="0" shrinkToFit="false"/>
      <protection locked="true" hidden="false"/>
    </xf>
    <xf numFmtId="164" fontId="18" fillId="0" borderId="5" xfId="22" applyFont="true" applyBorder="true" applyAlignment="true" applyProtection="false">
      <alignment horizontal="left" vertical="bottom" textRotation="0" wrapText="false" indent="0" shrinkToFit="false"/>
      <protection locked="true" hidden="false"/>
    </xf>
    <xf numFmtId="164" fontId="0" fillId="0" borderId="5" xfId="22" applyFont="true" applyBorder="true" applyAlignment="false" applyProtection="false">
      <alignment horizontal="general" vertical="bottom" textRotation="0" wrapText="false" indent="0" shrinkToFit="false"/>
      <protection locked="true" hidden="false"/>
    </xf>
    <xf numFmtId="164" fontId="21" fillId="0" borderId="0" xfId="22" applyFont="true" applyBorder="true" applyAlignment="true" applyProtection="false">
      <alignment horizontal="left" vertical="center" textRotation="0" wrapText="false" indent="0" shrinkToFit="false"/>
      <protection locked="true" hidden="false"/>
    </xf>
    <xf numFmtId="164" fontId="32" fillId="0" borderId="0" xfId="22" applyFont="true" applyBorder="false" applyAlignment="false" applyProtection="false">
      <alignment horizontal="general" vertical="bottom" textRotation="0" wrapText="false" indent="0" shrinkToFit="false"/>
      <protection locked="true" hidden="false"/>
    </xf>
    <xf numFmtId="164" fontId="0" fillId="0" borderId="5" xfId="22" applyFont="true" applyBorder="true" applyAlignment="true" applyProtection="false">
      <alignment horizontal="left" vertical="center" textRotation="0" wrapText="false" indent="0" shrinkToFit="false"/>
      <protection locked="true" hidden="false"/>
    </xf>
    <xf numFmtId="164" fontId="18" fillId="0" borderId="0" xfId="25" applyFont="true" applyBorder="false" applyAlignment="true" applyProtection="false">
      <alignment horizontal="left" vertical="top" textRotation="0" wrapText="false" indent="0" shrinkToFit="false"/>
      <protection locked="true" hidden="false"/>
    </xf>
    <xf numFmtId="164" fontId="0" fillId="0" borderId="0" xfId="22" applyFont="true" applyBorder="false" applyAlignment="true" applyProtection="false">
      <alignment horizontal="general" vertical="top" textRotation="0" wrapText="false" indent="0" shrinkToFit="false"/>
      <protection locked="true" hidden="false"/>
    </xf>
    <xf numFmtId="174" fontId="0" fillId="0" borderId="0" xfId="22" applyFont="true" applyBorder="false" applyAlignment="false" applyProtection="false">
      <alignment horizontal="general" vertical="bottom" textRotation="0" wrapText="false" indent="0" shrinkToFit="false"/>
      <protection locked="true" hidden="false"/>
    </xf>
    <xf numFmtId="174" fontId="0" fillId="0" borderId="0" xfId="22" applyFont="true" applyBorder="false" applyAlignment="true" applyProtection="false">
      <alignment horizontal="general" vertical="top" textRotation="0" wrapText="false" indent="0" shrinkToFit="false"/>
      <protection locked="true" hidden="false"/>
    </xf>
    <xf numFmtId="164" fontId="33" fillId="0" borderId="0" xfId="0" applyFont="true" applyBorder="false" applyAlignment="true" applyProtection="false">
      <alignment horizontal="right" vertical="center" textRotation="0" wrapText="false" indent="0" shrinkToFit="false"/>
      <protection locked="true" hidden="false"/>
    </xf>
    <xf numFmtId="164" fontId="33" fillId="0" borderId="0" xfId="0" applyFont="true" applyBorder="false" applyAlignment="true" applyProtection="false">
      <alignment horizontal="center" vertical="top" textRotation="0" wrapText="false" indent="0" shrinkToFit="false"/>
      <protection locked="true" hidden="false"/>
    </xf>
    <xf numFmtId="164" fontId="33" fillId="0" borderId="0" xfId="0" applyFont="true" applyBorder="false" applyAlignment="true" applyProtection="false">
      <alignment horizontal="left" vertical="center" textRotation="0" wrapText="false" indent="0" shrinkToFit="false"/>
      <protection locked="true" hidden="false"/>
    </xf>
    <xf numFmtId="164" fontId="38" fillId="0" borderId="0" xfId="0" applyFont="true" applyBorder="false" applyAlignment="true" applyProtection="false">
      <alignment horizontal="general" vertical="center" textRotation="0" wrapText="false" indent="0" shrinkToFit="false"/>
      <protection locked="true" hidden="false"/>
    </xf>
    <xf numFmtId="164" fontId="20" fillId="0" borderId="0" xfId="0" applyFont="true" applyBorder="false" applyAlignment="true" applyProtection="false">
      <alignment horizontal="left" vertical="center" textRotation="0" wrapText="false" indent="0" shrinkToFit="false"/>
      <protection locked="true" hidden="false"/>
    </xf>
    <xf numFmtId="164" fontId="0" fillId="0" borderId="8" xfId="0" applyFont="true" applyBorder="true" applyAlignment="true" applyProtection="false">
      <alignment horizontal="center" vertical="bottom" textRotation="0" wrapText="false" indent="0" shrinkToFit="false"/>
      <protection locked="true" hidden="false"/>
    </xf>
    <xf numFmtId="164" fontId="39" fillId="0" borderId="0" xfId="0" applyFont="true" applyBorder="false" applyAlignment="true" applyProtection="false">
      <alignment horizontal="left" vertical="center" textRotation="0" wrapText="false" indent="0" shrinkToFit="false"/>
      <protection locked="true" hidden="false"/>
    </xf>
    <xf numFmtId="164" fontId="0" fillId="0" borderId="31" xfId="0" applyFont="true" applyBorder="true" applyAlignment="false" applyProtection="false">
      <alignment horizontal="general" vertical="bottom" textRotation="0" wrapText="false" indent="0" shrinkToFit="false"/>
      <protection locked="true" hidden="false"/>
    </xf>
    <xf numFmtId="170" fontId="0" fillId="0" borderId="8" xfId="0" applyFont="false" applyBorder="true" applyAlignment="true" applyProtection="false">
      <alignment horizontal="center" vertical="bottom" textRotation="0" wrapText="false" indent="0" shrinkToFit="false"/>
      <protection locked="true" hidden="false"/>
    </xf>
    <xf numFmtId="164" fontId="18" fillId="0" borderId="30" xfId="25" applyFont="true" applyBorder="true" applyAlignment="true" applyProtection="false">
      <alignment horizontal="general" vertical="top" textRotation="0" wrapText="false" indent="0" shrinkToFit="false"/>
      <protection locked="true" hidden="false"/>
    </xf>
    <xf numFmtId="164" fontId="0" fillId="0" borderId="13" xfId="0" applyFont="false" applyBorder="true" applyAlignment="true" applyProtection="false">
      <alignment horizontal="center" vertical="bottom" textRotation="0" wrapText="false" indent="0" shrinkToFit="false"/>
      <protection locked="true" hidden="false"/>
    </xf>
    <xf numFmtId="164" fontId="0" fillId="0" borderId="13" xfId="22" applyFont="true" applyBorder="true" applyAlignment="true" applyProtection="false">
      <alignment horizontal="general" vertical="top" textRotation="0" wrapText="true" indent="0" shrinkToFit="false"/>
      <protection locked="true" hidden="false"/>
    </xf>
    <xf numFmtId="164" fontId="0" fillId="0" borderId="2" xfId="22" applyFont="true" applyBorder="true" applyAlignment="true" applyProtection="false">
      <alignment horizontal="general" vertical="top" textRotation="0" wrapText="true" indent="0" shrinkToFit="false"/>
      <protection locked="true" hidden="false"/>
    </xf>
    <xf numFmtId="164" fontId="0" fillId="0" borderId="0" xfId="22" applyFont="true" applyBorder="false" applyAlignment="true" applyProtection="false">
      <alignment horizontal="left" vertical="top" textRotation="0" wrapText="true" indent="0" shrinkToFit="false"/>
      <protection locked="true" hidden="false"/>
    </xf>
    <xf numFmtId="164" fontId="40" fillId="0" borderId="0" xfId="0" applyFont="true" applyBorder="false" applyAlignment="true" applyProtection="false">
      <alignment horizontal="center" vertical="bottom" textRotation="0" wrapText="false" indent="0" shrinkToFit="false"/>
      <protection locked="true" hidden="false"/>
    </xf>
    <xf numFmtId="164" fontId="0" fillId="0" borderId="5" xfId="22" applyFont="true" applyBorder="true" applyAlignment="true" applyProtection="false">
      <alignment horizontal="left" vertical="top" textRotation="0" wrapText="true" indent="0" shrinkToFit="false"/>
      <protection locked="true" hidden="false"/>
    </xf>
    <xf numFmtId="164" fontId="0" fillId="0" borderId="5" xfId="22" applyFont="true" applyBorder="true" applyAlignment="true" applyProtection="false">
      <alignment horizontal="general" vertical="top" textRotation="0" wrapText="true" indent="0" shrinkToFit="false"/>
      <protection locked="true" hidden="false"/>
    </xf>
    <xf numFmtId="164" fontId="30" fillId="0" borderId="0" xfId="0" applyFont="true" applyBorder="false" applyAlignment="true" applyProtection="false">
      <alignment horizontal="center" vertical="bottom" textRotation="0" wrapText="false" indent="0" shrinkToFit="false"/>
      <protection locked="true" hidden="false"/>
    </xf>
    <xf numFmtId="164" fontId="0" fillId="0" borderId="8" xfId="0" applyFont="false" applyBorder="true" applyAlignment="false" applyProtection="false">
      <alignment horizontal="general" vertical="bottom" textRotation="0" wrapText="false" indent="0" shrinkToFit="false"/>
      <protection locked="true" hidden="false"/>
    </xf>
    <xf numFmtId="164" fontId="0" fillId="0" borderId="8" xfId="0" applyFont="false" applyBorder="true" applyAlignment="false" applyProtection="true">
      <alignment horizontal="general" vertical="bottom" textRotation="0" wrapText="false" indent="0" shrinkToFit="false"/>
      <protection locked="false" hidden="false"/>
    </xf>
    <xf numFmtId="164" fontId="18" fillId="0" borderId="9" xfId="25" applyFont="true" applyBorder="true" applyAlignment="true" applyProtection="false">
      <alignment horizontal="left" vertical="top" textRotation="0" wrapText="false" indent="0" shrinkToFit="false"/>
      <protection locked="true" hidden="false"/>
    </xf>
    <xf numFmtId="164" fontId="18" fillId="0" borderId="0" xfId="25" applyFont="true" applyBorder="false" applyAlignment="true" applyProtection="false">
      <alignment horizontal="center" vertical="top" textRotation="0" wrapText="false" indent="0" shrinkToFit="false"/>
      <protection locked="true" hidden="false"/>
    </xf>
    <xf numFmtId="164" fontId="18" fillId="0" borderId="30" xfId="25" applyFont="true" applyBorder="true" applyAlignment="true" applyProtection="false">
      <alignment horizontal="center" vertical="top" textRotation="0" wrapText="false" indent="0" shrinkToFit="false"/>
      <protection locked="true" hidden="false"/>
    </xf>
    <xf numFmtId="164" fontId="0" fillId="0" borderId="8" xfId="0" applyFont="false" applyBorder="true" applyAlignment="false" applyProtection="true">
      <alignment horizontal="general" vertical="bottom" textRotation="0" wrapText="false" indent="0" shrinkToFit="false"/>
      <protection locked="false" hidden="false"/>
    </xf>
    <xf numFmtId="164" fontId="29" fillId="0" borderId="0" xfId="0" applyFont="true" applyBorder="true" applyAlignment="true" applyProtection="false">
      <alignment horizontal="center" vertical="bottom" textRotation="90" wrapText="true" indent="0" shrinkToFit="false"/>
      <protection locked="true" hidden="false"/>
    </xf>
    <xf numFmtId="164" fontId="41" fillId="0" borderId="0" xfId="0" applyFont="true" applyBorder="true" applyAlignment="true" applyProtection="false">
      <alignment horizontal="center" vertical="bottom" textRotation="90" wrapText="tru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4" fontId="0" fillId="7" borderId="0" xfId="0" applyFont="false" applyBorder="true" applyAlignment="true" applyProtection="false">
      <alignment horizontal="left" vertical="bottom" textRotation="0" wrapText="false" indent="0" shrinkToFit="false"/>
      <protection locked="true" hidden="false"/>
    </xf>
    <xf numFmtId="177" fontId="0" fillId="0" borderId="13" xfId="22" applyFont="true" applyBorder="true" applyAlignment="true" applyProtection="false">
      <alignment horizontal="general" vertical="top" textRotation="0" wrapText="false" indent="0" shrinkToFit="true"/>
      <protection locked="true" hidden="false"/>
    </xf>
    <xf numFmtId="164" fontId="0" fillId="0" borderId="10" xfId="22" applyFont="true" applyBorder="true" applyAlignment="true" applyProtection="false">
      <alignment horizontal="left" vertical="top" textRotation="0" wrapText="true" indent="0" shrinkToFit="false"/>
      <protection locked="true" hidden="false"/>
    </xf>
    <xf numFmtId="164" fontId="0" fillId="0" borderId="3" xfId="22" applyFont="true" applyBorder="true" applyAlignment="true" applyProtection="false">
      <alignment horizontal="center" vertical="top" textRotation="0" wrapText="true" indent="0" shrinkToFit="false"/>
      <protection locked="true" hidden="false"/>
    </xf>
    <xf numFmtId="164" fontId="0" fillId="0" borderId="13" xfId="22" applyFont="true" applyBorder="true" applyAlignment="true" applyProtection="false">
      <alignment horizontal="center" vertical="top" textRotation="0" wrapText="true" indent="0" shrinkToFit="false"/>
      <protection locked="true" hidden="false"/>
    </xf>
    <xf numFmtId="170" fontId="0" fillId="0" borderId="0" xfId="0" applyFont="false" applyBorder="false" applyAlignment="true" applyProtection="false">
      <alignment horizontal="general" vertical="center" textRotation="0" wrapText="true" indent="0" shrinkToFit="false"/>
      <protection locked="true" hidden="false"/>
    </xf>
    <xf numFmtId="164" fontId="42" fillId="0" borderId="0" xfId="0" applyFont="true" applyBorder="false" applyAlignment="true" applyProtection="false">
      <alignment horizontal="center" vertical="center" textRotation="0" wrapText="false" indent="0" shrinkToFit="false"/>
      <protection locked="true" hidden="false"/>
    </xf>
    <xf numFmtId="164" fontId="43" fillId="0" borderId="31" xfId="0" applyFont="true" applyBorder="true" applyAlignment="true" applyProtection="false">
      <alignment horizontal="center" vertical="center" textRotation="0" wrapText="true" indent="0" shrinkToFit="false"/>
      <protection locked="true" hidden="false"/>
    </xf>
    <xf numFmtId="164" fontId="40" fillId="0" borderId="8" xfId="0" applyFont="true" applyBorder="true" applyAlignment="false" applyProtection="false">
      <alignment horizontal="general" vertical="bottom" textRotation="0" wrapText="false" indent="0" shrinkToFit="false"/>
      <protection locked="true" hidden="false"/>
    </xf>
    <xf numFmtId="164" fontId="44" fillId="0" borderId="0" xfId="0" applyFont="true" applyBorder="false" applyAlignment="false" applyProtection="false">
      <alignment horizontal="general" vertical="bottom" textRotation="0" wrapText="false" indent="0" shrinkToFit="false"/>
      <protection locked="true" hidden="false"/>
    </xf>
    <xf numFmtId="164" fontId="30" fillId="0" borderId="13" xfId="0" applyFont="true" applyBorder="true" applyAlignment="true" applyProtection="false">
      <alignment horizontal="center" vertical="bottom" textRotation="0" wrapText="false" indent="0" shrinkToFit="false"/>
      <protection locked="true" hidden="false"/>
    </xf>
    <xf numFmtId="164" fontId="40"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left" vertical="center" textRotation="0" wrapText="false" indent="0" shrinkToFit="false"/>
      <protection locked="true" hidden="false"/>
    </xf>
    <xf numFmtId="164" fontId="18" fillId="0" borderId="1" xfId="0" applyFont="true" applyBorder="true" applyAlignment="true" applyProtection="false">
      <alignment horizontal="center" vertical="bottom" textRotation="0" wrapText="false" indent="0" shrinkToFit="false"/>
      <protection locked="true" hidden="false"/>
    </xf>
    <xf numFmtId="173" fontId="45" fillId="0" borderId="0" xfId="0" applyFont="true" applyBorder="false" applyAlignment="true" applyProtection="false">
      <alignment horizontal="center" vertical="center" textRotation="0" wrapText="false" indent="0" shrinkToFit="false"/>
      <protection locked="true" hidden="false"/>
    </xf>
    <xf numFmtId="164" fontId="18" fillId="0" borderId="8" xfId="0" applyFont="true" applyBorder="true" applyAlignment="true" applyProtection="false">
      <alignment horizontal="center" vertical="center" textRotation="0" wrapText="true" indent="0" shrinkToFit="false"/>
      <protection locked="true" hidden="false"/>
    </xf>
    <xf numFmtId="164" fontId="46" fillId="0" borderId="8" xfId="0" applyFont="true" applyBorder="true" applyAlignment="true" applyProtection="false">
      <alignment horizontal="center" vertical="center" textRotation="0" wrapText="true" indent="0" shrinkToFit="false"/>
      <protection locked="true" hidden="false"/>
    </xf>
    <xf numFmtId="164" fontId="18" fillId="0" borderId="8" xfId="0" applyFont="true" applyBorder="true" applyAlignment="true" applyProtection="false">
      <alignment horizontal="center" vertical="center" textRotation="0" wrapText="false" indent="0" shrinkToFit="false"/>
      <protection locked="true" hidden="false"/>
    </xf>
    <xf numFmtId="164" fontId="18" fillId="0" borderId="32" xfId="0" applyFont="true" applyBorder="true" applyAlignment="true" applyProtection="false">
      <alignment horizontal="center" vertical="center" textRotation="0" wrapText="true" indent="0" shrinkToFit="false"/>
      <protection locked="true" hidden="false"/>
    </xf>
    <xf numFmtId="164" fontId="18" fillId="0" borderId="33" xfId="0" applyFont="true" applyBorder="true" applyAlignment="true" applyProtection="false">
      <alignment horizontal="center" vertical="center" textRotation="0" wrapText="true" indent="0" shrinkToFit="false"/>
      <protection locked="true" hidden="false"/>
    </xf>
    <xf numFmtId="164" fontId="18" fillId="0" borderId="0" xfId="0" applyFont="true" applyBorder="false" applyAlignment="true" applyProtection="false">
      <alignment horizontal="center" vertical="center" textRotation="0" wrapText="true" indent="0" shrinkToFit="false"/>
      <protection locked="true" hidden="false"/>
    </xf>
    <xf numFmtId="164" fontId="18" fillId="0" borderId="34" xfId="0" applyFont="true" applyBorder="true" applyAlignment="true" applyProtection="false">
      <alignment horizontal="center" vertical="center" textRotation="0" wrapText="true" indent="0" shrinkToFit="false"/>
      <protection locked="true" hidden="false"/>
    </xf>
    <xf numFmtId="164" fontId="43" fillId="0" borderId="35" xfId="0" applyFont="true" applyBorder="true" applyAlignment="true" applyProtection="false">
      <alignment horizontal="center" vertical="center" textRotation="0" wrapText="true" indent="0" shrinkToFit="false"/>
      <protection locked="true" hidden="false"/>
    </xf>
    <xf numFmtId="164" fontId="18" fillId="0" borderId="31" xfId="0" applyFont="true" applyBorder="true" applyAlignment="true" applyProtection="false">
      <alignment horizontal="center" vertical="center" textRotation="0" wrapText="true" indent="0" shrinkToFit="false"/>
      <protection locked="true" hidden="false"/>
    </xf>
    <xf numFmtId="164" fontId="18" fillId="0" borderId="35" xfId="0" applyFont="true" applyBorder="true" applyAlignment="true" applyProtection="false">
      <alignment horizontal="center" vertical="center" textRotation="0" wrapText="true" indent="0" shrinkToFit="false"/>
      <protection locked="true" hidden="false"/>
    </xf>
    <xf numFmtId="164" fontId="29" fillId="0" borderId="0" xfId="0" applyFont="true" applyBorder="false" applyAlignment="true" applyProtection="false">
      <alignment horizontal="center" vertical="bottom" textRotation="0" wrapText="false" indent="0" shrinkToFit="false"/>
      <protection locked="true" hidden="false"/>
    </xf>
    <xf numFmtId="164" fontId="5" fillId="5" borderId="36" xfId="0" applyFont="true" applyBorder="true" applyAlignment="true" applyProtection="true">
      <alignment horizontal="center" vertical="center" textRotation="0" wrapText="true" indent="0" shrinkToFit="false"/>
      <protection locked="false" hidden="false"/>
    </xf>
    <xf numFmtId="164" fontId="5" fillId="0" borderId="36" xfId="0" applyFont="true" applyBorder="true" applyAlignment="true" applyProtection="false">
      <alignment horizontal="center" vertical="center" textRotation="0" wrapText="true" indent="0" shrinkToFit="false"/>
      <protection locked="true" hidden="false"/>
    </xf>
    <xf numFmtId="164" fontId="0" fillId="0" borderId="37" xfId="0" applyFont="false" applyBorder="true" applyAlignment="true" applyProtection="false">
      <alignment horizontal="general" vertical="center" textRotation="0" wrapText="true" indent="0" shrinkToFit="true"/>
      <protection locked="true" hidden="false"/>
    </xf>
    <xf numFmtId="168" fontId="0" fillId="5" borderId="38" xfId="0" applyFont="true" applyBorder="true" applyAlignment="true" applyProtection="true">
      <alignment horizontal="center" vertical="center" textRotation="0" wrapText="true" indent="0" shrinkToFit="false"/>
      <protection locked="false" hidden="false"/>
    </xf>
    <xf numFmtId="168" fontId="0" fillId="4" borderId="38" xfId="0" applyFont="false" applyBorder="true" applyAlignment="true" applyProtection="true">
      <alignment horizontal="center" vertical="center" textRotation="0" wrapText="true" indent="0" shrinkToFit="false"/>
      <protection locked="false" hidden="false"/>
    </xf>
    <xf numFmtId="164" fontId="0" fillId="4" borderId="38" xfId="0" applyFont="false" applyBorder="true" applyAlignment="true" applyProtection="true">
      <alignment horizontal="left" vertical="center" textRotation="0" wrapText="true" indent="0" shrinkToFit="false"/>
      <protection locked="false" hidden="false"/>
    </xf>
    <xf numFmtId="164" fontId="0" fillId="4" borderId="38" xfId="0" applyFont="false" applyBorder="true" applyAlignment="true" applyProtection="true">
      <alignment horizontal="center" vertical="center" textRotation="0" wrapText="true" indent="0" shrinkToFit="false"/>
      <protection locked="false" hidden="false"/>
    </xf>
    <xf numFmtId="178" fontId="0" fillId="0" borderId="38" xfId="15" applyFont="true" applyBorder="true" applyAlignment="true" applyProtection="true">
      <alignment horizontal="general" vertical="center" textRotation="0" wrapText="false" indent="0" shrinkToFit="true"/>
      <protection locked="true" hidden="false"/>
    </xf>
    <xf numFmtId="178" fontId="0" fillId="4" borderId="38" xfId="15" applyFont="true" applyBorder="true" applyAlignment="true" applyProtection="true">
      <alignment horizontal="general" vertical="center" textRotation="0" wrapText="true" indent="0" shrinkToFit="false"/>
      <protection locked="false" hidden="false"/>
    </xf>
    <xf numFmtId="170" fontId="0" fillId="5" borderId="38" xfId="19" applyFont="true" applyBorder="true" applyAlignment="true" applyProtection="true">
      <alignment horizontal="center" vertical="center" textRotation="0" wrapText="true" indent="0" shrinkToFit="false"/>
      <protection locked="false" hidden="false"/>
    </xf>
    <xf numFmtId="178" fontId="0" fillId="0" borderId="39" xfId="15" applyFont="true" applyBorder="true" applyAlignment="true" applyProtection="true">
      <alignment horizontal="center" vertical="center" textRotation="0" wrapText="false" indent="0" shrinkToFit="true"/>
      <protection locked="true" hidden="false"/>
    </xf>
    <xf numFmtId="170" fontId="29" fillId="5" borderId="40" xfId="19" applyFont="true" applyBorder="true" applyAlignment="true" applyProtection="true">
      <alignment horizontal="center" vertical="center" textRotation="0" wrapText="false" indent="0" shrinkToFit="false"/>
      <protection locked="false" hidden="false"/>
    </xf>
    <xf numFmtId="164" fontId="0" fillId="0" borderId="41" xfId="0" applyFont="false" applyBorder="true" applyAlignment="false" applyProtection="false">
      <alignment horizontal="general" vertical="bottom" textRotation="0" wrapText="false" indent="0" shrinkToFit="false"/>
      <protection locked="true" hidden="false"/>
    </xf>
    <xf numFmtId="164" fontId="0" fillId="0" borderId="42" xfId="0" applyFont="false" applyBorder="true" applyAlignment="false" applyProtection="false">
      <alignment horizontal="general" vertical="bottom" textRotation="0" wrapText="false" indent="0" shrinkToFit="false"/>
      <protection locked="true" hidden="false"/>
    </xf>
    <xf numFmtId="164" fontId="30" fillId="0" borderId="0" xfId="0" applyFont="true" applyBorder="false" applyAlignment="true" applyProtection="false">
      <alignment horizontal="general" vertical="center" textRotation="0" wrapText="false" indent="0" shrinkToFit="false"/>
      <protection locked="true" hidden="false"/>
    </xf>
    <xf numFmtId="178" fontId="0" fillId="0" borderId="37" xfId="15" applyFont="true" applyBorder="true" applyAlignment="true" applyProtection="true">
      <alignment horizontal="general" vertical="center" textRotation="0" wrapText="false" indent="0" shrinkToFit="true"/>
      <protection locked="true" hidden="false"/>
    </xf>
    <xf numFmtId="170" fontId="0" fillId="0" borderId="39" xfId="15" applyFont="true" applyBorder="true" applyAlignment="true" applyProtection="true">
      <alignment horizontal="general" vertical="center" textRotation="0" wrapText="false" indent="0" shrinkToFit="true"/>
      <protection locked="true" hidden="false"/>
    </xf>
    <xf numFmtId="178" fontId="0" fillId="4" borderId="40" xfId="15" applyFont="true" applyBorder="true" applyAlignment="true" applyProtection="true">
      <alignment horizontal="general" vertical="center" textRotation="0" wrapText="true" indent="0" shrinkToFit="false"/>
      <protection locked="false" hidden="false"/>
    </xf>
    <xf numFmtId="178" fontId="0" fillId="4" borderId="37" xfId="15" applyFont="true" applyBorder="true" applyAlignment="true" applyProtection="true">
      <alignment horizontal="general" vertical="center" textRotation="0" wrapText="true" indent="0" shrinkToFit="false"/>
      <protection locked="false" hidden="false"/>
    </xf>
    <xf numFmtId="178" fontId="0" fillId="0" borderId="38" xfId="15" applyFont="true" applyBorder="true" applyAlignment="true" applyProtection="true">
      <alignment horizontal="center" vertical="center" textRotation="0" wrapText="false" indent="0" shrinkToFit="true"/>
      <protection locked="true" hidden="false"/>
    </xf>
    <xf numFmtId="178" fontId="0" fillId="0" borderId="39" xfId="15" applyFont="true" applyBorder="true" applyAlignment="true" applyProtection="true">
      <alignment horizontal="general" vertical="center" textRotation="0" wrapText="false" indent="0" shrinkToFit="true"/>
      <protection locked="true" hidden="false"/>
    </xf>
    <xf numFmtId="164" fontId="18" fillId="8" borderId="8" xfId="0" applyFont="true" applyBorder="true" applyAlignment="true" applyProtection="false">
      <alignment horizontal="center" vertical="center" textRotation="0" wrapText="false" indent="0" shrinkToFit="false"/>
      <protection locked="true" hidden="false"/>
    </xf>
    <xf numFmtId="164" fontId="18" fillId="8" borderId="11" xfId="0" applyFont="true" applyBorder="true" applyAlignment="true" applyProtection="false">
      <alignment horizontal="left" vertical="center" textRotation="0" wrapText="true" indent="0" shrinkToFit="false"/>
      <protection locked="true" hidden="false"/>
    </xf>
    <xf numFmtId="168" fontId="18" fillId="8" borderId="43" xfId="0" applyFont="true" applyBorder="true" applyAlignment="true" applyProtection="false">
      <alignment horizontal="center" vertical="center" textRotation="0" wrapText="false" indent="0" shrinkToFit="false"/>
      <protection locked="true" hidden="false"/>
    </xf>
    <xf numFmtId="178" fontId="18" fillId="8" borderId="43" xfId="15" applyFont="true" applyBorder="true" applyAlignment="true" applyProtection="true">
      <alignment horizontal="center" vertical="center" textRotation="0" wrapText="false" indent="0" shrinkToFit="false"/>
      <protection locked="true" hidden="false"/>
    </xf>
    <xf numFmtId="170" fontId="18" fillId="8" borderId="43" xfId="19" applyFont="true" applyBorder="true" applyAlignment="true" applyProtection="true">
      <alignment horizontal="center" vertical="center" textRotation="0" wrapText="false" indent="0" shrinkToFit="false"/>
      <protection locked="true" hidden="false"/>
    </xf>
    <xf numFmtId="178" fontId="18" fillId="8" borderId="12" xfId="15" applyFont="true" applyBorder="true" applyAlignment="true" applyProtection="true">
      <alignment horizontal="center" vertical="center" textRotation="0" wrapText="false" indent="0" shrinkToFit="true"/>
      <protection locked="true" hidden="false"/>
    </xf>
    <xf numFmtId="178" fontId="47" fillId="8" borderId="8" xfId="15" applyFont="true" applyBorder="true" applyAlignment="true" applyProtection="true">
      <alignment horizontal="center" vertical="center" textRotation="0" wrapText="false" indent="0" shrinkToFit="true"/>
      <protection locked="true" hidden="false"/>
    </xf>
    <xf numFmtId="178" fontId="47" fillId="8" borderId="12" xfId="15" applyFont="true" applyBorder="true" applyAlignment="true" applyProtection="true">
      <alignment horizontal="center" vertical="center" textRotation="0" wrapText="false" indent="0" shrinkToFit="true"/>
      <protection locked="true" hidden="false"/>
    </xf>
    <xf numFmtId="178" fontId="18" fillId="8" borderId="44" xfId="15" applyFont="true" applyBorder="true" applyAlignment="true" applyProtection="true">
      <alignment horizontal="center" vertical="center" textRotation="0" wrapText="false" indent="0" shrinkToFit="false"/>
      <protection locked="true" hidden="false"/>
    </xf>
    <xf numFmtId="170" fontId="18" fillId="8" borderId="45" xfId="15" applyFont="true" applyBorder="true" applyAlignment="true" applyProtection="true">
      <alignment horizontal="center" vertical="center" textRotation="0" wrapText="false" indent="0" shrinkToFit="false"/>
      <protection locked="true" hidden="false"/>
    </xf>
    <xf numFmtId="170" fontId="18" fillId="8" borderId="13" xfId="15" applyFont="true" applyBorder="true" applyAlignment="true" applyProtection="true">
      <alignment horizontal="center" vertical="center" textRotation="0" wrapText="false" indent="0" shrinkToFit="false"/>
      <protection locked="true" hidden="false"/>
    </xf>
    <xf numFmtId="170" fontId="18" fillId="8" borderId="44" xfId="15" applyFont="true" applyBorder="true" applyAlignment="true" applyProtection="true">
      <alignment horizontal="center" vertical="center" textRotation="0" wrapText="false" indent="0" shrinkToFit="false"/>
      <protection locked="true" hidden="false"/>
    </xf>
    <xf numFmtId="178" fontId="18" fillId="8" borderId="46" xfId="15" applyFont="true" applyBorder="true" applyAlignment="true" applyProtection="true">
      <alignment horizontal="center" vertical="center" textRotation="0" wrapText="false" indent="0" shrinkToFit="true"/>
      <protection locked="true" hidden="false"/>
    </xf>
    <xf numFmtId="178" fontId="18" fillId="8" borderId="45" xfId="15" applyFont="true" applyBorder="true" applyAlignment="true" applyProtection="true">
      <alignment horizontal="center" vertical="center" textRotation="0" wrapText="false" indent="0" shrinkToFit="false"/>
      <protection locked="true" hidden="false"/>
    </xf>
    <xf numFmtId="164" fontId="0" fillId="4" borderId="38" xfId="0" applyFont="true" applyBorder="true" applyAlignment="true" applyProtection="true">
      <alignment horizontal="left" vertical="center" textRotation="0" wrapText="true" indent="0" shrinkToFit="false"/>
      <protection locked="false" hidden="false"/>
    </xf>
    <xf numFmtId="168" fontId="0" fillId="4" borderId="38" xfId="0" applyFont="true" applyBorder="true" applyAlignment="true" applyProtection="true">
      <alignment horizontal="center" vertical="center" textRotation="0" wrapText="true" indent="0" shrinkToFit="false"/>
      <protection locked="false" hidden="false"/>
    </xf>
    <xf numFmtId="164" fontId="0" fillId="9" borderId="11" xfId="0" applyFont="false" applyBorder="true" applyAlignment="false" applyProtection="false">
      <alignment horizontal="general" vertical="bottom" textRotation="0" wrapText="false" indent="0" shrinkToFit="false"/>
      <protection locked="true" hidden="false"/>
    </xf>
    <xf numFmtId="164" fontId="0" fillId="9" borderId="12" xfId="0" applyFont="false" applyBorder="true" applyAlignment="false" applyProtection="false">
      <alignment horizontal="general" vertical="bottom" textRotation="0" wrapText="false" indent="0" shrinkToFit="false"/>
      <protection locked="true" hidden="false"/>
    </xf>
    <xf numFmtId="164" fontId="0" fillId="9" borderId="43" xfId="0" applyFont="false" applyBorder="true" applyAlignment="false" applyProtection="false">
      <alignment horizontal="general" vertical="bottom" textRotation="0" wrapText="false" indent="0" shrinkToFit="false"/>
      <protection locked="true" hidden="false"/>
    </xf>
    <xf numFmtId="164" fontId="0" fillId="2" borderId="11" xfId="0" applyFont="false" applyBorder="true" applyAlignment="false" applyProtection="false">
      <alignment horizontal="general" vertical="bottom" textRotation="0" wrapText="false" indent="0" shrinkToFit="false"/>
      <protection locked="true" hidden="false"/>
    </xf>
    <xf numFmtId="164" fontId="0" fillId="2" borderId="12" xfId="0" applyFont="false" applyBorder="true" applyAlignment="false" applyProtection="false">
      <alignment horizontal="general" vertical="bottom" textRotation="0" wrapText="false" indent="0" shrinkToFit="false"/>
      <protection locked="true" hidden="false"/>
    </xf>
    <xf numFmtId="164" fontId="0" fillId="10" borderId="8" xfId="0" applyFont="false" applyBorder="true" applyAlignment="false" applyProtection="false">
      <alignment horizontal="general" vertical="bottom" textRotation="0" wrapText="false" indent="0" shrinkToFit="false"/>
      <protection locked="true" hidden="false"/>
    </xf>
    <xf numFmtId="164" fontId="0" fillId="2" borderId="43" xfId="0" applyFont="false" applyBorder="true" applyAlignment="false" applyProtection="false">
      <alignment horizontal="general" vertical="bottom" textRotation="0" wrapText="false" indent="0" shrinkToFit="false"/>
      <protection locked="true" hidden="false"/>
    </xf>
    <xf numFmtId="164" fontId="32" fillId="0" borderId="0" xfId="0" applyFont="true" applyBorder="false" applyAlignment="false" applyProtection="false">
      <alignment horizontal="general" vertical="bottom" textRotation="0" wrapText="false" indent="0" shrinkToFit="false"/>
      <protection locked="true" hidden="false"/>
    </xf>
    <xf numFmtId="164" fontId="32" fillId="0" borderId="8" xfId="0" applyFont="true" applyBorder="true" applyAlignment="true" applyProtection="true">
      <alignment horizontal="left" vertical="center" textRotation="0" wrapText="false" indent="0" shrinkToFit="false"/>
      <protection locked="false" hidden="false"/>
    </xf>
    <xf numFmtId="164" fontId="32" fillId="0" borderId="9" xfId="0" applyFont="true" applyBorder="true" applyAlignment="true" applyProtection="false">
      <alignment horizontal="left" vertical="center" textRotation="0" wrapText="false" indent="0" shrinkToFit="false"/>
      <protection locked="true" hidden="false"/>
    </xf>
    <xf numFmtId="164" fontId="32" fillId="4" borderId="13" xfId="0" applyFont="true" applyBorder="true" applyAlignment="true" applyProtection="true">
      <alignment horizontal="left" vertical="top" textRotation="0" wrapText="true" indent="0" shrinkToFit="false"/>
      <protection locked="false" hidden="false"/>
    </xf>
    <xf numFmtId="164" fontId="32" fillId="0" borderId="0" xfId="0" applyFont="true" applyBorder="false" applyAlignment="true" applyProtection="false">
      <alignment horizontal="left" vertical="bottom" textRotation="0" wrapText="true" indent="0" shrinkToFit="false"/>
      <protection locked="true" hidden="false"/>
    </xf>
    <xf numFmtId="164" fontId="32" fillId="0" borderId="0" xfId="0" applyFont="true" applyBorder="false" applyAlignment="true" applyProtection="true">
      <alignment horizontal="left" vertical="bottom" textRotation="0" wrapText="true" indent="0" shrinkToFit="false"/>
      <protection locked="false" hidden="false"/>
    </xf>
    <xf numFmtId="164" fontId="21" fillId="0" borderId="8" xfId="0" applyFont="true" applyBorder="true" applyAlignment="true" applyProtection="false">
      <alignment horizontal="left" vertical="bottom" textRotation="0" wrapText="true" indent="0" shrinkToFit="false"/>
      <protection locked="true" hidden="false"/>
    </xf>
    <xf numFmtId="164" fontId="21" fillId="0" borderId="0" xfId="0" applyFont="true" applyBorder="false" applyAlignment="true" applyProtection="false">
      <alignment horizontal="left" vertical="bottom" textRotation="0" wrapText="true" indent="0" shrinkToFit="false"/>
      <protection locked="true" hidden="false"/>
    </xf>
    <xf numFmtId="164" fontId="0" fillId="0" borderId="8" xfId="0" applyFont="true" applyBorder="true" applyAlignment="true" applyProtection="false">
      <alignment horizontal="left" vertical="bottom" textRotation="0" wrapText="true" indent="0" shrinkToFit="false"/>
      <protection locked="true" hidden="false"/>
    </xf>
    <xf numFmtId="174" fontId="0" fillId="0" borderId="3" xfId="0" applyFont="false" applyBorder="true" applyAlignment="true" applyProtection="false">
      <alignment horizontal="left" vertical="bottom" textRotation="0" wrapText="false" indent="0" shrinkToFit="false"/>
      <protection locked="true" hidden="false"/>
    </xf>
    <xf numFmtId="164" fontId="21" fillId="0" borderId="3" xfId="22" applyFont="true" applyBorder="true" applyAlignment="true" applyProtection="false">
      <alignment horizontal="general" vertical="center" textRotation="0" wrapText="false" indent="0" shrinkToFit="false"/>
      <protection locked="true" hidden="false"/>
    </xf>
    <xf numFmtId="164" fontId="0" fillId="0" borderId="0" xfId="22" applyFont="true" applyBorder="false" applyAlignment="true" applyProtection="false">
      <alignment horizontal="general" vertical="center" textRotation="0" wrapText="false" indent="0" shrinkToFit="false"/>
      <protection locked="true" hidden="false"/>
    </xf>
    <xf numFmtId="175" fontId="0" fillId="0" borderId="0" xfId="0" applyFont="false" applyBorder="true" applyAlignment="true" applyProtection="false">
      <alignment horizontal="left" vertical="bottom" textRotation="0" wrapText="false" indent="0" shrinkToFit="false"/>
      <protection locked="true" hidden="false"/>
    </xf>
    <xf numFmtId="164" fontId="18" fillId="0" borderId="5" xfId="0" applyFont="true" applyBorder="true" applyAlignment="false" applyProtection="false">
      <alignment horizontal="general" vertical="bottom" textRotation="0" wrapText="false" indent="0" shrinkToFit="false"/>
      <protection locked="true" hidden="false"/>
    </xf>
    <xf numFmtId="164" fontId="50" fillId="0" borderId="8" xfId="0" applyFont="true" applyBorder="true" applyAlignment="true" applyProtection="false">
      <alignment horizontal="center" vertical="center" textRotation="0" wrapText="false" indent="0" shrinkToFit="false"/>
      <protection locked="true" hidden="false"/>
    </xf>
    <xf numFmtId="164" fontId="50" fillId="4" borderId="8" xfId="0" applyFont="true" applyBorder="true" applyAlignment="true" applyProtection="true">
      <alignment horizontal="left" vertical="center" textRotation="0" wrapText="false" indent="0" shrinkToFit="false"/>
      <protection locked="false" hidden="false"/>
    </xf>
    <xf numFmtId="178" fontId="0" fillId="0" borderId="8" xfId="15" applyFont="true" applyBorder="true" applyAlignment="true" applyProtection="true">
      <alignment horizontal="general" vertical="bottom" textRotation="0" wrapText="false" indent="0" shrinkToFit="true"/>
      <protection locked="true" hidden="false"/>
    </xf>
    <xf numFmtId="178" fontId="0" fillId="0" borderId="8" xfId="15" applyFont="true" applyBorder="true" applyAlignment="true" applyProtection="true">
      <alignment horizontal="general" vertical="bottom" textRotation="0" wrapText="false" indent="0" shrinkToFit="false"/>
      <protection locked="true" hidden="false"/>
    </xf>
    <xf numFmtId="178" fontId="30" fillId="0" borderId="8" xfId="15" applyFont="true" applyBorder="true" applyAlignment="true" applyProtection="true">
      <alignment horizontal="general" vertical="bottom" textRotation="0" wrapText="false" indent="0" shrinkToFit="true"/>
      <protection locked="true" hidden="false"/>
    </xf>
    <xf numFmtId="164" fontId="0" fillId="0" borderId="8" xfId="0" applyFont="true" applyBorder="true" applyAlignment="true" applyProtection="false">
      <alignment horizontal="center" vertical="bottom" textRotation="0" wrapText="true" indent="0" shrinkToFit="false"/>
      <protection locked="true" hidden="false"/>
    </xf>
    <xf numFmtId="164" fontId="51" fillId="0" borderId="9" xfId="23" applyFont="true" applyBorder="true" applyAlignment="false" applyProtection="false">
      <alignment horizontal="general" vertical="bottom" textRotation="0" wrapText="false" indent="0" shrinkToFit="false"/>
      <protection locked="true" hidden="false"/>
    </xf>
    <xf numFmtId="164" fontId="51" fillId="0" borderId="0" xfId="23" applyFont="true" applyBorder="false" applyAlignment="false" applyProtection="false">
      <alignment horizontal="general" vertical="bottom" textRotation="0" wrapText="false" indent="0" shrinkToFit="false"/>
      <protection locked="true" hidden="false"/>
    </xf>
    <xf numFmtId="164" fontId="52" fillId="0" borderId="30" xfId="25" applyFont="true" applyBorder="true" applyAlignment="true" applyProtection="false">
      <alignment horizontal="left" vertical="top" textRotation="0" wrapText="false" indent="0" shrinkToFit="false"/>
      <protection locked="true" hidden="false"/>
    </xf>
    <xf numFmtId="164" fontId="0" fillId="0" borderId="10" xfId="22" applyFont="true" applyBorder="true" applyAlignment="true" applyProtection="false">
      <alignment horizontal="left" vertical="top" textRotation="0" wrapText="false" indent="0" shrinkToFit="false"/>
      <protection locked="true" hidden="false"/>
    </xf>
    <xf numFmtId="164" fontId="0" fillId="0" borderId="3" xfId="22" applyFont="true" applyBorder="true" applyAlignment="true" applyProtection="false">
      <alignment horizontal="left" vertical="top" textRotation="0" wrapText="true" indent="0" shrinkToFit="false"/>
      <protection locked="true" hidden="false"/>
    </xf>
    <xf numFmtId="164" fontId="50" fillId="0" borderId="13" xfId="23" applyFont="true" applyBorder="true" applyAlignment="true" applyProtection="false">
      <alignment horizontal="left" vertical="bottom" textRotation="0" wrapText="false" indent="0" shrinkToFit="false"/>
      <protection locked="true" hidden="false"/>
    </xf>
    <xf numFmtId="164" fontId="0" fillId="5" borderId="6" xfId="0" applyFont="true" applyBorder="true" applyAlignment="true" applyProtection="true">
      <alignment horizontal="left" vertical="center" textRotation="0" wrapText="false" indent="0" shrinkToFit="false"/>
      <protection locked="false" hidden="false"/>
    </xf>
    <xf numFmtId="164" fontId="0" fillId="0" borderId="0" xfId="0" applyFont="false" applyBorder="false" applyAlignment="true" applyProtection="false">
      <alignment horizontal="left" vertical="top" textRotation="0" wrapText="false" indent="0" shrinkToFit="false"/>
      <protection locked="true" hidden="false"/>
    </xf>
    <xf numFmtId="164" fontId="4" fillId="0" borderId="8" xfId="0" applyFont="true" applyBorder="true" applyAlignment="true" applyProtection="false">
      <alignment horizontal="center" vertical="center" textRotation="0" wrapText="true" indent="0" shrinkToFit="false"/>
      <protection locked="true" hidden="false"/>
    </xf>
    <xf numFmtId="164" fontId="4" fillId="0" borderId="11" xfId="0" applyFont="true" applyBorder="true" applyAlignment="true" applyProtection="false">
      <alignment horizontal="center" vertical="center" textRotation="0" wrapText="true" indent="0" shrinkToFit="false"/>
      <protection locked="true" hidden="false"/>
    </xf>
    <xf numFmtId="173" fontId="31" fillId="0" borderId="0" xfId="0" applyFont="true" applyBorder="false" applyAlignment="true" applyProtection="false">
      <alignment horizontal="right" vertical="bottom" textRotation="90" wrapText="false" indent="0" shrinkToFit="false"/>
      <protection locked="true" hidden="false"/>
    </xf>
    <xf numFmtId="164" fontId="25" fillId="0" borderId="0" xfId="0" applyFont="true" applyBorder="true" applyAlignment="true" applyProtection="false">
      <alignment horizontal="center" vertical="top" textRotation="0" wrapText="true" indent="0" shrinkToFit="false"/>
      <protection locked="true" hidden="false"/>
    </xf>
    <xf numFmtId="164" fontId="25" fillId="0" borderId="0" xfId="0" applyFont="true" applyBorder="fals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right" vertical="center" textRotation="0" wrapText="false" indent="0" shrinkToFit="false"/>
      <protection locked="true" hidden="false"/>
    </xf>
    <xf numFmtId="164" fontId="0" fillId="0" borderId="0" xfId="0" applyFont="false" applyBorder="false" applyAlignment="true" applyProtection="false">
      <alignment horizontal="right" vertical="center" textRotation="0" wrapText="false" indent="0" shrinkToFit="false"/>
      <protection locked="true" hidden="false"/>
    </xf>
    <xf numFmtId="164" fontId="10" fillId="0" borderId="8" xfId="0" applyFont="true" applyBorder="true" applyAlignment="false" applyProtection="false">
      <alignment horizontal="general" vertical="bottom" textRotation="0" wrapText="false" indent="0" shrinkToFit="false"/>
      <protection locked="true" hidden="false"/>
    </xf>
    <xf numFmtId="164" fontId="10" fillId="0" borderId="11" xfId="0" applyFont="true" applyBorder="true" applyAlignment="false" applyProtection="false">
      <alignment horizontal="general" vertical="bottom" textRotation="0" wrapText="false" indent="0" shrinkToFit="false"/>
      <protection locked="true" hidden="false"/>
    </xf>
    <xf numFmtId="164" fontId="10" fillId="0" borderId="8" xfId="0" applyFont="true" applyBorder="true" applyAlignment="true" applyProtection="false">
      <alignment horizontal="center" vertical="bottom" textRotation="0" wrapText="false" indent="0" shrinkToFit="false"/>
      <protection locked="true" hidden="false"/>
    </xf>
    <xf numFmtId="164" fontId="10" fillId="0" borderId="4" xfId="0" applyFont="true" applyBorder="true" applyAlignment="true" applyProtection="false">
      <alignment horizontal="center" vertical="bottom" textRotation="0" wrapText="false" indent="0" shrinkToFit="false"/>
      <protection locked="true" hidden="false"/>
    </xf>
    <xf numFmtId="164" fontId="10" fillId="0" borderId="13" xfId="0" applyFont="true" applyBorder="true" applyAlignment="true" applyProtection="false">
      <alignment horizontal="center" vertical="bottom" textRotation="0" wrapText="false" indent="0" shrinkToFit="false"/>
      <protection locked="true" hidden="false"/>
    </xf>
    <xf numFmtId="164" fontId="0" fillId="11" borderId="0" xfId="0" applyFont="false" applyBorder="false" applyAlignment="false" applyProtection="false">
      <alignment horizontal="general" vertical="bottom" textRotation="0" wrapText="false" indent="0" shrinkToFit="false"/>
      <protection locked="true" hidden="false"/>
    </xf>
    <xf numFmtId="164" fontId="18" fillId="11" borderId="0" xfId="0" applyFont="true" applyBorder="false" applyAlignment="true" applyProtection="false">
      <alignment horizontal="right" vertical="bottom" textRotation="0" wrapText="false" indent="0" shrinkToFit="false"/>
      <protection locked="true" hidden="false"/>
    </xf>
    <xf numFmtId="178" fontId="18" fillId="11" borderId="8" xfId="0" applyFont="true" applyBorder="true" applyAlignment="false" applyProtection="false">
      <alignment horizontal="general" vertical="bottom" textRotation="0" wrapText="false" indent="0" shrinkToFit="false"/>
      <protection locked="true" hidden="false"/>
    </xf>
    <xf numFmtId="178" fontId="18" fillId="11" borderId="12"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4" fontId="50" fillId="12" borderId="8" xfId="0" applyFont="true" applyBorder="true" applyAlignment="true" applyProtection="false">
      <alignment horizontal="center" vertical="center" textRotation="0" wrapText="false" indent="0" shrinkToFit="false"/>
      <protection locked="true" hidden="false"/>
    </xf>
    <xf numFmtId="164" fontId="50" fillId="12" borderId="11" xfId="0" applyFont="true" applyBorder="true" applyAlignment="true" applyProtection="false">
      <alignment horizontal="left" vertical="center" textRotation="0" wrapText="false" indent="0" shrinkToFit="false"/>
      <protection locked="true" hidden="false"/>
    </xf>
    <xf numFmtId="178" fontId="0" fillId="12" borderId="8" xfId="15" applyFont="true" applyBorder="true" applyAlignment="true" applyProtection="true">
      <alignment horizontal="left" vertical="center" textRotation="0" wrapText="false" indent="0" shrinkToFit="true"/>
      <protection locked="true" hidden="false"/>
    </xf>
    <xf numFmtId="178" fontId="0" fillId="12" borderId="2" xfId="15" applyFont="true" applyBorder="true" applyAlignment="true" applyProtection="true">
      <alignment horizontal="general" vertical="bottom" textRotation="0" wrapText="false" indent="0" shrinkToFit="false"/>
      <protection locked="true" hidden="false"/>
    </xf>
    <xf numFmtId="178" fontId="0" fillId="11" borderId="8" xfId="15" applyFont="true" applyBorder="true" applyAlignment="true" applyProtection="true">
      <alignment horizontal="left" vertical="center" textRotation="0" wrapText="false" indent="0" shrinkToFit="true"/>
      <protection locked="true" hidden="false"/>
    </xf>
    <xf numFmtId="164" fontId="0" fillId="11" borderId="11" xfId="0" applyFont="false" applyBorder="true" applyAlignment="false" applyProtection="false">
      <alignment horizontal="general" vertical="bottom" textRotation="0" wrapText="false" indent="0" shrinkToFit="false"/>
      <protection locked="true" hidden="false"/>
    </xf>
    <xf numFmtId="164" fontId="0" fillId="11" borderId="43" xfId="0" applyFont="false" applyBorder="true" applyAlignment="false" applyProtection="false">
      <alignment horizontal="general" vertical="bottom" textRotation="0" wrapText="false" indent="0" shrinkToFit="false"/>
      <protection locked="true" hidden="false"/>
    </xf>
    <xf numFmtId="164" fontId="0" fillId="11" borderId="8" xfId="0" applyFont="false" applyBorder="true" applyAlignment="true" applyProtection="false">
      <alignment horizontal="center" vertical="bottom" textRotation="0" wrapText="false" indent="0" shrinkToFit="false"/>
      <protection locked="true" hidden="false"/>
    </xf>
    <xf numFmtId="164" fontId="0" fillId="11" borderId="12" xfId="0" applyFont="false" applyBorder="true" applyAlignment="false" applyProtection="false">
      <alignment horizontal="general" vertical="bottom" textRotation="0" wrapText="false" indent="0" shrinkToFit="false"/>
      <protection locked="true" hidden="false"/>
    </xf>
    <xf numFmtId="174" fontId="0" fillId="0" borderId="3" xfId="0" applyFont="false" applyBorder="true" applyAlignment="false" applyProtection="false">
      <alignment horizontal="general" vertical="bottom" textRotation="0" wrapText="false" indent="0" shrinkToFit="false"/>
      <protection locked="true" hidden="false"/>
    </xf>
    <xf numFmtId="170" fontId="0" fillId="0" borderId="0" xfId="19" applyFont="true" applyBorder="true" applyAlignment="true" applyProtection="true">
      <alignment horizontal="general" vertical="bottom" textRotation="0" wrapText="false" indent="0" shrinkToFit="false"/>
      <protection locked="true" hidden="false"/>
    </xf>
    <xf numFmtId="164" fontId="18" fillId="0" borderId="0" xfId="22" applyFont="true" applyBorder="false" applyAlignment="true" applyProtection="false">
      <alignment horizontal="general" vertical="top" textRotation="0" wrapText="false" indent="0" shrinkToFit="false"/>
      <protection locked="true" hidden="false"/>
    </xf>
    <xf numFmtId="175" fontId="0" fillId="0" borderId="3" xfId="0" applyFont="false" applyBorder="true" applyAlignment="true" applyProtection="false">
      <alignment horizontal="left" vertical="bottom" textRotation="0" wrapText="false" indent="0" shrinkToFit="false"/>
      <protection locked="true" hidden="false"/>
    </xf>
    <xf numFmtId="164" fontId="20" fillId="0" borderId="0" xfId="0" applyFont="true" applyBorder="true" applyAlignment="true" applyProtection="false">
      <alignment horizontal="left" vertical="center" textRotation="0" wrapText="false" indent="10" shrinkToFit="false"/>
      <protection locked="true" hidden="false"/>
    </xf>
    <xf numFmtId="164" fontId="20" fillId="0" borderId="0" xfId="0" applyFont="true" applyBorder="false" applyAlignment="true" applyProtection="false">
      <alignment horizontal="left" vertical="center" textRotation="0" wrapText="false" indent="10" shrinkToFit="false"/>
      <protection locked="true" hidden="false"/>
    </xf>
    <xf numFmtId="164" fontId="20" fillId="0" borderId="0" xfId="0" applyFont="true" applyBorder="false" applyAlignment="true" applyProtection="false">
      <alignment horizontal="center" vertical="center" textRotation="0" wrapText="false" indent="0" shrinkToFit="false"/>
      <protection locked="true" hidden="false"/>
    </xf>
    <xf numFmtId="164" fontId="39" fillId="0" borderId="0" xfId="0" applyFont="true" applyBorder="true" applyAlignment="true" applyProtection="false">
      <alignment horizontal="left" vertical="center" textRotation="0" wrapText="false" indent="10" shrinkToFit="false"/>
      <protection locked="true" hidden="false"/>
    </xf>
    <xf numFmtId="164" fontId="39" fillId="0" borderId="0" xfId="0" applyFont="true" applyBorder="false" applyAlignment="true" applyProtection="false">
      <alignment horizontal="left" vertical="center" textRotation="0" wrapText="false" indent="10" shrinkToFit="false"/>
      <protection locked="true" hidden="false"/>
    </xf>
    <xf numFmtId="164" fontId="39" fillId="0" borderId="0" xfId="0" applyFont="true" applyBorder="false" applyAlignment="true" applyProtection="false">
      <alignment horizontal="center" vertical="center" textRotation="0" wrapText="false" indent="0" shrinkToFit="false"/>
      <protection locked="true" hidden="false"/>
    </xf>
    <xf numFmtId="179" fontId="0" fillId="0" borderId="0" xfId="0" applyFont="false" applyBorder="false" applyAlignment="false" applyProtection="false">
      <alignment horizontal="general" vertical="bottom" textRotation="0" wrapText="false" indent="0" shrinkToFit="false"/>
      <protection locked="true" hidden="false"/>
    </xf>
    <xf numFmtId="164" fontId="18" fillId="0" borderId="9" xfId="25" applyFont="true" applyBorder="true" applyAlignment="true" applyProtection="false">
      <alignment horizontal="general" vertical="top" textRotation="0" wrapText="false" indent="0" shrinkToFit="false"/>
      <protection locked="true" hidden="false"/>
    </xf>
    <xf numFmtId="164" fontId="18" fillId="0" borderId="0" xfId="25" applyFont="true" applyBorder="false" applyAlignment="true" applyProtection="false">
      <alignment horizontal="general" vertical="top" textRotation="0" wrapText="false" indent="0" shrinkToFit="false"/>
      <protection locked="true" hidden="false"/>
    </xf>
    <xf numFmtId="164" fontId="18" fillId="0" borderId="1" xfId="25" applyFont="true" applyBorder="true" applyAlignment="true" applyProtection="false">
      <alignment horizontal="general" vertical="top" textRotation="0" wrapText="false" indent="0" shrinkToFit="false"/>
      <protection locked="true" hidden="false"/>
    </xf>
    <xf numFmtId="164" fontId="18" fillId="0" borderId="31" xfId="0" applyFont="true" applyBorder="true" applyAlignment="true" applyProtection="false">
      <alignment horizontal="center" vertical="bottom" textRotation="0" wrapText="false" indent="0" shrinkToFit="false"/>
      <protection locked="true" hidden="false"/>
    </xf>
    <xf numFmtId="164" fontId="0" fillId="0" borderId="10" xfId="22" applyFont="true" applyBorder="true" applyAlignment="true" applyProtection="false">
      <alignment horizontal="general" vertical="top" textRotation="0" wrapText="false" indent="0" shrinkToFit="false"/>
      <protection locked="true" hidden="false"/>
    </xf>
    <xf numFmtId="164" fontId="0" fillId="0" borderId="3" xfId="22" applyFont="true" applyBorder="true" applyAlignment="true" applyProtection="false">
      <alignment horizontal="general" vertical="top" textRotation="0" wrapText="true" indent="0" shrinkToFit="false"/>
      <protection locked="true" hidden="false"/>
    </xf>
    <xf numFmtId="164" fontId="25" fillId="0" borderId="0" xfId="0" applyFont="true" applyBorder="false" applyAlignment="true" applyProtection="false">
      <alignment horizontal="center" vertical="center" textRotation="0" wrapText="false" indent="0" shrinkToFit="false"/>
      <protection locked="true" hidden="false"/>
    </xf>
    <xf numFmtId="164" fontId="24" fillId="0" borderId="0" xfId="0" applyFont="true" applyBorder="false" applyAlignment="true" applyProtection="false">
      <alignment horizontal="right" vertical="center" textRotation="0" wrapText="false" indent="0" shrinkToFit="false"/>
      <protection locked="true" hidden="false"/>
    </xf>
    <xf numFmtId="164" fontId="26" fillId="0" borderId="0" xfId="0" applyFont="true" applyBorder="false" applyAlignment="true" applyProtection="false">
      <alignment horizontal="center" vertical="bottom" textRotation="0" wrapText="false" indent="0" shrinkToFit="false"/>
      <protection locked="true" hidden="false"/>
    </xf>
    <xf numFmtId="164" fontId="26" fillId="0" borderId="31" xfId="0" applyFont="true" applyBorder="true" applyAlignment="true" applyProtection="false">
      <alignment horizontal="center" vertical="bottom" textRotation="0" wrapText="false" indent="0" shrinkToFit="false"/>
      <protection locked="true" hidden="false"/>
    </xf>
    <xf numFmtId="173" fontId="31" fillId="0" borderId="0" xfId="0" applyFont="true" applyBorder="false" applyAlignment="true" applyProtection="false">
      <alignment horizontal="center" vertical="bottom" textRotation="90" wrapText="false" indent="0" shrinkToFit="false"/>
      <protection locked="true" hidden="false"/>
    </xf>
    <xf numFmtId="164" fontId="30" fillId="0" borderId="3" xfId="0" applyFont="true" applyBorder="true" applyAlignment="true" applyProtection="false">
      <alignment horizontal="general" vertical="center" textRotation="0" wrapText="true" indent="0" shrinkToFit="false"/>
      <protection locked="true" hidden="false"/>
    </xf>
    <xf numFmtId="164" fontId="24" fillId="0" borderId="3" xfId="0" applyFont="true" applyBorder="true" applyAlignment="true" applyProtection="false">
      <alignment horizontal="center" vertical="center" textRotation="0" wrapText="true" indent="0" shrinkToFit="false"/>
      <protection locked="true" hidden="false"/>
    </xf>
    <xf numFmtId="173" fontId="31" fillId="0" borderId="0" xfId="0" applyFont="true" applyBorder="false" applyAlignment="true" applyProtection="false">
      <alignment horizontal="left" vertical="bottom" textRotation="90" wrapText="true" indent="0" shrinkToFit="false"/>
      <protection locked="true" hidden="false"/>
    </xf>
    <xf numFmtId="164" fontId="18" fillId="0" borderId="3" xfId="0" applyFont="true" applyBorder="true" applyAlignment="true" applyProtection="false">
      <alignment horizontal="center" vertical="center" textRotation="0" wrapText="true" indent="0" shrinkToFit="false"/>
      <protection locked="true" hidden="false"/>
    </xf>
    <xf numFmtId="164" fontId="18" fillId="0" borderId="3" xfId="0" applyFont="true" applyBorder="true" applyAlignment="true" applyProtection="false">
      <alignment horizontal="right" vertical="center" textRotation="0" wrapText="true" indent="0" shrinkToFit="false"/>
      <protection locked="true" hidden="false"/>
    </xf>
    <xf numFmtId="164" fontId="0" fillId="4" borderId="47" xfId="0" applyFont="false" applyBorder="true" applyAlignment="true" applyProtection="true">
      <alignment horizontal="center" vertical="bottom" textRotation="90" wrapText="true" indent="0" shrinkToFit="false"/>
      <protection locked="false" hidden="false"/>
    </xf>
    <xf numFmtId="164" fontId="0" fillId="4" borderId="48" xfId="0" applyFont="false" applyBorder="true" applyAlignment="true" applyProtection="true">
      <alignment horizontal="center" vertical="bottom" textRotation="90" wrapText="true" indent="0" shrinkToFit="false"/>
      <protection locked="false" hidden="false"/>
    </xf>
    <xf numFmtId="169" fontId="0" fillId="4" borderId="47" xfId="0" applyFont="false" applyBorder="true" applyAlignment="true" applyProtection="true">
      <alignment horizontal="center" vertical="bottom" textRotation="90" wrapText="true" indent="0" shrinkToFit="false"/>
      <protection locked="false" hidden="false"/>
    </xf>
    <xf numFmtId="164" fontId="0" fillId="4" borderId="49" xfId="0" applyFont="false" applyBorder="true" applyAlignment="true" applyProtection="true">
      <alignment horizontal="center" vertical="bottom" textRotation="90" wrapText="true" indent="0" shrinkToFit="false"/>
      <protection locked="false" hidden="false"/>
    </xf>
    <xf numFmtId="164" fontId="0" fillId="0" borderId="48" xfId="0" applyFont="false" applyBorder="true" applyAlignment="true" applyProtection="false">
      <alignment horizontal="center" vertical="bottom" textRotation="90" wrapText="true" indent="0" shrinkToFit="false"/>
      <protection locked="true" hidden="false"/>
    </xf>
    <xf numFmtId="164" fontId="0" fillId="0" borderId="47" xfId="0" applyFont="false" applyBorder="true" applyAlignment="true" applyProtection="false">
      <alignment horizontal="center" vertical="bottom" textRotation="90" wrapText="true" indent="0" shrinkToFit="false"/>
      <protection locked="true" hidden="false"/>
    </xf>
    <xf numFmtId="164" fontId="0" fillId="0" borderId="49" xfId="0" applyFont="false" applyBorder="true" applyAlignment="true" applyProtection="false">
      <alignment horizontal="center" vertical="bottom" textRotation="90" wrapText="tru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18" fillId="0" borderId="50" xfId="0" applyFont="true" applyBorder="true" applyAlignment="true" applyProtection="false">
      <alignment horizontal="center" vertical="center" textRotation="0" wrapText="true" indent="0" shrinkToFit="false"/>
      <protection locked="true" hidden="false"/>
    </xf>
    <xf numFmtId="164" fontId="18" fillId="0" borderId="48" xfId="0" applyFont="true" applyBorder="true" applyAlignment="true" applyProtection="false">
      <alignment horizontal="center" vertical="center" textRotation="0" wrapText="true" indent="0" shrinkToFit="false"/>
      <protection locked="true" hidden="false"/>
    </xf>
    <xf numFmtId="164" fontId="18" fillId="0" borderId="47" xfId="0" applyFont="true" applyBorder="true" applyAlignment="true" applyProtection="false">
      <alignment horizontal="center" vertical="center" textRotation="0" wrapText="true" indent="0" shrinkToFit="false"/>
      <protection locked="true" hidden="false"/>
    </xf>
    <xf numFmtId="164" fontId="18" fillId="0" borderId="49" xfId="0" applyFont="true" applyBorder="true" applyAlignment="true" applyProtection="false">
      <alignment horizontal="center" vertical="center" textRotation="0" wrapText="true" indent="0" shrinkToFit="false"/>
      <protection locked="true" hidden="false"/>
    </xf>
    <xf numFmtId="164" fontId="0" fillId="0" borderId="38" xfId="0" applyFont="false" applyBorder="true" applyAlignment="true" applyProtection="false">
      <alignment horizontal="left" vertical="center" textRotation="0" wrapText="true" indent="0" shrinkToFit="false"/>
      <protection locked="true" hidden="false"/>
    </xf>
    <xf numFmtId="164" fontId="0" fillId="0" borderId="38" xfId="0" applyFont="false" applyBorder="true" applyAlignment="true" applyProtection="false">
      <alignment horizontal="center" vertical="center" textRotation="0" wrapText="true" indent="0" shrinkToFit="false"/>
      <protection locked="true" hidden="false"/>
    </xf>
    <xf numFmtId="168" fontId="0" fillId="4" borderId="39" xfId="15" applyFont="true" applyBorder="true" applyAlignment="true" applyProtection="true">
      <alignment horizontal="left" vertical="center" textRotation="0" wrapText="true" indent="0" shrinkToFit="true"/>
      <protection locked="false" hidden="false"/>
    </xf>
    <xf numFmtId="164" fontId="53" fillId="0" borderId="0" xfId="0" applyFont="true" applyBorder="false" applyAlignment="true" applyProtection="false">
      <alignment horizontal="general" vertical="center" textRotation="0" wrapText="false" indent="0" shrinkToFit="false"/>
      <protection locked="true" hidden="false"/>
    </xf>
    <xf numFmtId="164" fontId="0" fillId="5" borderId="8" xfId="15" applyFont="true" applyBorder="true" applyAlignment="true" applyProtection="true">
      <alignment horizontal="left" vertical="center" textRotation="0" wrapText="false" indent="0" shrinkToFit="false"/>
      <protection locked="false" hidden="false"/>
    </xf>
    <xf numFmtId="164" fontId="15" fillId="0" borderId="0" xfId="0" applyFont="true" applyBorder="false" applyAlignment="true" applyProtection="false">
      <alignment horizontal="center" vertical="bottom" textRotation="0" wrapText="false" indent="0" shrinkToFit="false"/>
      <protection locked="true" hidden="false"/>
    </xf>
    <xf numFmtId="164" fontId="47" fillId="0" borderId="33" xfId="15" applyFont="true" applyBorder="true" applyAlignment="true" applyProtection="true">
      <alignment horizontal="center" vertical="center" textRotation="0" wrapText="true" indent="0" shrinkToFit="true"/>
      <protection locked="true" hidden="false"/>
    </xf>
    <xf numFmtId="164" fontId="47" fillId="0" borderId="40" xfId="15" applyFont="true" applyBorder="true" applyAlignment="true" applyProtection="true">
      <alignment horizontal="general" vertical="center" textRotation="0" wrapText="true" indent="0" shrinkToFit="true"/>
      <protection locked="true" hidden="false"/>
    </xf>
    <xf numFmtId="178" fontId="0" fillId="4" borderId="37" xfId="15" applyFont="true" applyBorder="true" applyAlignment="true" applyProtection="true">
      <alignment horizontal="general" vertical="center" textRotation="0" wrapText="false" indent="0" shrinkToFit="true"/>
      <protection locked="false" hidden="false"/>
    </xf>
    <xf numFmtId="178" fontId="0" fillId="4" borderId="38" xfId="15" applyFont="true" applyBorder="true" applyAlignment="true" applyProtection="true">
      <alignment horizontal="general" vertical="center" textRotation="0" wrapText="false" indent="0" shrinkToFit="true"/>
      <protection locked="false" hidden="false"/>
    </xf>
    <xf numFmtId="178" fontId="0" fillId="4" borderId="39" xfId="15" applyFont="true" applyBorder="true" applyAlignment="true" applyProtection="true">
      <alignment horizontal="general" vertical="center" textRotation="0" wrapText="false" indent="0" shrinkToFit="true"/>
      <protection locked="false" hidden="false"/>
    </xf>
    <xf numFmtId="178" fontId="0" fillId="0" borderId="48" xfId="15" applyFont="true" applyBorder="true" applyAlignment="true" applyProtection="true">
      <alignment horizontal="general" vertical="center" textRotation="0" wrapText="false" indent="0" shrinkToFit="true"/>
      <protection locked="true" hidden="false"/>
    </xf>
    <xf numFmtId="173" fontId="0" fillId="0" borderId="51" xfId="15" applyFont="true" applyBorder="true" applyAlignment="true" applyProtection="true">
      <alignment horizontal="center" vertical="center" textRotation="0" wrapText="false" indent="0" shrinkToFit="true"/>
      <protection locked="true" hidden="false"/>
    </xf>
    <xf numFmtId="173" fontId="0" fillId="0" borderId="52" xfId="15" applyFont="true" applyBorder="true" applyAlignment="true" applyProtection="true">
      <alignment horizontal="center" vertical="center" textRotation="0" wrapText="false" indent="0" shrinkToFit="true"/>
      <protection locked="true" hidden="false"/>
    </xf>
    <xf numFmtId="164" fontId="18" fillId="8" borderId="8" xfId="0" applyFont="true" applyBorder="true" applyAlignment="true" applyProtection="false">
      <alignment horizontal="left" vertical="center" textRotation="0" wrapText="true" indent="0" shrinkToFit="false"/>
      <protection locked="true" hidden="false"/>
    </xf>
    <xf numFmtId="168" fontId="18" fillId="8" borderId="8" xfId="0" applyFont="true" applyBorder="true" applyAlignment="true" applyProtection="false">
      <alignment horizontal="left" vertical="center" textRotation="0" wrapText="false" indent="0" shrinkToFit="false"/>
      <protection locked="true" hidden="false"/>
    </xf>
    <xf numFmtId="164" fontId="18" fillId="8" borderId="8" xfId="0" applyFont="true" applyBorder="true" applyAlignment="true" applyProtection="false">
      <alignment horizontal="left" vertical="center" textRotation="0" wrapText="false" indent="0" shrinkToFit="false"/>
      <protection locked="true" hidden="false"/>
    </xf>
    <xf numFmtId="164" fontId="54" fillId="8" borderId="8" xfId="0" applyFont="true" applyBorder="true" applyAlignment="true" applyProtection="false">
      <alignment horizontal="center" vertical="center" textRotation="0" wrapText="false" indent="0" shrinkToFit="false"/>
      <protection locked="true" hidden="false"/>
    </xf>
    <xf numFmtId="164" fontId="18" fillId="8" borderId="8" xfId="0" applyFont="true" applyBorder="true" applyAlignment="true" applyProtection="false">
      <alignment horizontal="right" vertical="center" textRotation="0" wrapText="false" indent="0" shrinkToFit="false"/>
      <protection locked="true" hidden="false"/>
    </xf>
    <xf numFmtId="169" fontId="18" fillId="8" borderId="53" xfId="0" applyFont="true" applyBorder="true" applyAlignment="true" applyProtection="false">
      <alignment horizontal="right" vertical="center" textRotation="0" wrapText="false" indent="0" shrinkToFit="true"/>
      <protection locked="true" hidden="false"/>
    </xf>
    <xf numFmtId="169" fontId="18" fillId="8" borderId="54" xfId="0" applyFont="true" applyBorder="true" applyAlignment="true" applyProtection="false">
      <alignment horizontal="right" vertical="center" textRotation="0" wrapText="false" indent="0" shrinkToFit="true"/>
      <protection locked="true" hidden="false"/>
    </xf>
    <xf numFmtId="169" fontId="18" fillId="8" borderId="55" xfId="0" applyFont="true" applyBorder="true" applyAlignment="true" applyProtection="false">
      <alignment horizontal="right" vertical="center" textRotation="0" wrapText="false" indent="0" shrinkToFit="true"/>
      <protection locked="true" hidden="false"/>
    </xf>
    <xf numFmtId="169" fontId="18" fillId="8" borderId="48" xfId="0" applyFont="true" applyBorder="true" applyAlignment="true" applyProtection="false">
      <alignment horizontal="right" vertical="center" textRotation="0" wrapText="false" indent="0" shrinkToFit="true"/>
      <protection locked="true" hidden="false"/>
    </xf>
    <xf numFmtId="164" fontId="18" fillId="8" borderId="48" xfId="0" applyFont="true" applyBorder="true" applyAlignment="true" applyProtection="false">
      <alignment horizontal="right" vertical="center" textRotation="0" wrapText="false" indent="0" shrinkToFit="true"/>
      <protection locked="true" hidden="false"/>
    </xf>
    <xf numFmtId="164" fontId="15" fillId="2" borderId="11" xfId="0" applyFont="true" applyBorder="true" applyAlignment="false" applyProtection="false">
      <alignment horizontal="general" vertical="bottom" textRotation="0" wrapText="false" indent="0" shrinkToFit="false"/>
      <protection locked="true" hidden="false"/>
    </xf>
    <xf numFmtId="164" fontId="0" fillId="2" borderId="13" xfId="0" applyFont="false" applyBorder="true" applyAlignment="true" applyProtection="false">
      <alignment horizontal="left" vertical="bottom" textRotation="0" wrapText="false" indent="0" shrinkToFit="false"/>
      <protection locked="true" hidden="false"/>
    </xf>
    <xf numFmtId="164" fontId="0" fillId="2" borderId="8" xfId="0" applyFont="false" applyBorder="true" applyAlignment="true" applyProtection="false">
      <alignment horizontal="center" vertical="bottom" textRotation="0" wrapText="false" indent="0" shrinkToFit="false"/>
      <protection locked="true" hidden="false"/>
    </xf>
    <xf numFmtId="164" fontId="0" fillId="2" borderId="8" xfId="0" applyFont="false" applyBorder="true" applyAlignment="false" applyProtection="false">
      <alignment horizontal="general" vertical="bottom" textRotation="0" wrapText="false" indent="0" shrinkToFit="false"/>
      <protection locked="true" hidden="false"/>
    </xf>
    <xf numFmtId="164" fontId="0" fillId="0" borderId="43" xfId="0" applyFont="false" applyBorder="true" applyAlignment="false" applyProtection="false">
      <alignment horizontal="general" vertical="bottom" textRotation="0" wrapText="false" indent="0" shrinkToFit="false"/>
      <protection locked="true" hidden="false"/>
    </xf>
    <xf numFmtId="164" fontId="0" fillId="13" borderId="11" xfId="0" applyFont="false" applyBorder="true" applyAlignment="false" applyProtection="false">
      <alignment horizontal="general" vertical="bottom" textRotation="0" wrapText="false" indent="0" shrinkToFit="false"/>
      <protection locked="true" hidden="false"/>
    </xf>
    <xf numFmtId="164" fontId="0" fillId="13" borderId="43" xfId="0" applyFont="false" applyBorder="true" applyAlignment="false" applyProtection="false">
      <alignment horizontal="general" vertical="bottom" textRotation="0" wrapText="false" indent="0" shrinkToFit="false"/>
      <protection locked="true" hidden="false"/>
    </xf>
    <xf numFmtId="164" fontId="0" fillId="13" borderId="12" xfId="0" applyFont="false" applyBorder="true" applyAlignment="false" applyProtection="false">
      <alignment horizontal="general" vertical="bottom" textRotation="0" wrapText="false" indent="0" shrinkToFit="false"/>
      <protection locked="true" hidden="false"/>
    </xf>
    <xf numFmtId="164" fontId="0" fillId="0" borderId="3" xfId="0" applyFont="false" applyBorder="true" applyAlignment="true" applyProtection="false">
      <alignment horizontal="center" vertical="bottom" textRotation="0" wrapText="false" indent="0" shrinkToFit="false"/>
      <protection locked="true" hidden="false"/>
    </xf>
    <xf numFmtId="164" fontId="0" fillId="0" borderId="38" xfId="0" applyFont="false" applyBorder="true" applyAlignment="true" applyProtection="false">
      <alignment horizontal="center" vertical="bottom" textRotation="0" wrapText="false" indent="0" shrinkToFit="false"/>
      <protection locked="true" hidden="false"/>
    </xf>
    <xf numFmtId="164" fontId="0" fillId="0" borderId="38" xfId="0" applyFont="false" applyBorder="true" applyAlignment="true" applyProtection="false">
      <alignment horizontal="left" vertical="bottom" textRotation="0" wrapText="false" indent="0" shrinkToFit="false"/>
      <protection locked="true" hidden="false"/>
    </xf>
    <xf numFmtId="164" fontId="55" fillId="0" borderId="0" xfId="0" applyFont="true" applyBorder="false" applyAlignment="false" applyProtection="false">
      <alignment horizontal="general" vertical="bottom" textRotation="0" wrapText="false" indent="0" shrinkToFit="false"/>
      <protection locked="true" hidden="false"/>
    </xf>
    <xf numFmtId="173" fontId="0" fillId="4" borderId="38" xfId="0" applyFont="false" applyBorder="true" applyAlignment="true" applyProtection="true">
      <alignment horizontal="center" vertical="bottom" textRotation="0" wrapText="false" indent="0" shrinkToFit="false"/>
      <protection locked="false" hidden="false"/>
    </xf>
    <xf numFmtId="173" fontId="0" fillId="4" borderId="38" xfId="0" applyFont="false" applyBorder="true" applyAlignment="true" applyProtection="true">
      <alignment horizontal="center" vertical="center" textRotation="0" wrapText="false" indent="0" shrinkToFit="false"/>
      <protection locked="false" hidden="false"/>
    </xf>
    <xf numFmtId="164" fontId="0" fillId="0" borderId="13" xfId="0" applyFont="true" applyBorder="true" applyAlignment="true" applyProtection="false">
      <alignment horizontal="center" vertical="bottom" textRotation="0" wrapText="true" indent="0" shrinkToFit="false"/>
      <protection locked="true" hidden="false"/>
    </xf>
    <xf numFmtId="164" fontId="56" fillId="0" borderId="0" xfId="0" applyFont="true" applyBorder="false" applyAlignment="true" applyProtection="false">
      <alignment horizontal="center" vertical="bottom" textRotation="0" wrapText="true" indent="0" shrinkToFit="false"/>
      <protection locked="true" hidden="false"/>
    </xf>
    <xf numFmtId="167" fontId="0" fillId="0" borderId="1" xfId="28" applyFont="true" applyBorder="true" applyAlignment="true" applyProtection="true">
      <alignment horizontal="center" vertical="bottom" textRotation="0" wrapText="false" indent="0" shrinkToFit="false"/>
      <protection locked="true" hidden="false"/>
    </xf>
    <xf numFmtId="164" fontId="50" fillId="0" borderId="0" xfId="23" applyFont="true" applyBorder="false" applyAlignment="false" applyProtection="false">
      <alignment horizontal="general" vertical="bottom" textRotation="0" wrapText="false" indent="0" shrinkToFit="false"/>
      <protection locked="true" hidden="false"/>
    </xf>
    <xf numFmtId="164" fontId="56" fillId="0" borderId="1" xfId="0" applyFont="true" applyBorder="true" applyAlignment="true" applyProtection="false">
      <alignment horizontal="center" vertical="bottom" textRotation="0" wrapText="true" indent="0" shrinkToFit="false"/>
      <protection locked="true" hidden="false"/>
    </xf>
    <xf numFmtId="164" fontId="57" fillId="0" borderId="0" xfId="0" applyFont="true" applyBorder="false" applyAlignment="true" applyProtection="false">
      <alignment horizontal="left" vertical="bottom" textRotation="0" wrapText="false" indent="0" shrinkToFit="false"/>
      <protection locked="true" hidden="false"/>
    </xf>
    <xf numFmtId="164" fontId="0" fillId="5" borderId="6" xfId="0" applyFont="false" applyBorder="true" applyAlignment="true" applyProtection="true">
      <alignment horizontal="left" vertical="center" textRotation="0" wrapText="false" indent="0" shrinkToFit="false"/>
      <protection locked="fals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80" fontId="56" fillId="2" borderId="56" xfId="0" applyFont="true" applyBorder="true" applyAlignment="true" applyProtection="false">
      <alignment horizontal="center" vertical="bottom" textRotation="90" wrapText="true" indent="0" shrinkToFit="false"/>
      <protection locked="true" hidden="false"/>
    </xf>
    <xf numFmtId="164" fontId="18" fillId="2" borderId="56" xfId="0" applyFont="true" applyBorder="true" applyAlignment="true" applyProtection="false">
      <alignment horizontal="center" vertical="bottom" textRotation="0" wrapText="true" indent="0" shrinkToFit="false"/>
      <protection locked="true" hidden="false"/>
    </xf>
    <xf numFmtId="164" fontId="18" fillId="2" borderId="56"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2" borderId="57" xfId="0" applyFont="true" applyBorder="true" applyAlignment="false" applyProtection="false">
      <alignment horizontal="general" vertical="bottom" textRotation="0" wrapText="false" indent="0" shrinkToFit="false"/>
      <protection locked="true" hidden="false"/>
    </xf>
    <xf numFmtId="164" fontId="18" fillId="2" borderId="58" xfId="0" applyFont="true" applyBorder="true" applyAlignment="false" applyProtection="false">
      <alignment horizontal="general" vertical="bottom" textRotation="0" wrapText="false" indent="0" shrinkToFit="false"/>
      <protection locked="true" hidden="false"/>
    </xf>
    <xf numFmtId="164" fontId="30" fillId="2" borderId="57" xfId="0" applyFont="true" applyBorder="true" applyAlignment="false" applyProtection="false">
      <alignment horizontal="general" vertical="bottom" textRotation="0" wrapText="false" indent="0" shrinkToFit="false"/>
      <protection locked="true" hidden="false"/>
    </xf>
    <xf numFmtId="164" fontId="18" fillId="2" borderId="59" xfId="0" applyFont="true" applyBorder="true" applyAlignment="false" applyProtection="false">
      <alignment horizontal="general" vertical="bottom" textRotation="0" wrapText="false" indent="0" shrinkToFit="false"/>
      <protection locked="true" hidden="false"/>
    </xf>
    <xf numFmtId="164" fontId="0" fillId="11" borderId="38" xfId="0" applyFont="false" applyBorder="true" applyAlignment="true" applyProtection="false">
      <alignment horizontal="center" vertical="bottom" textRotation="0" wrapText="false" indent="0" shrinkToFit="false"/>
      <protection locked="true" hidden="false"/>
    </xf>
    <xf numFmtId="164" fontId="0" fillId="11" borderId="38" xfId="0" applyFont="false" applyBorder="true" applyAlignment="false" applyProtection="false">
      <alignment horizontal="general" vertical="bottom" textRotation="0" wrapText="false" indent="0" shrinkToFit="false"/>
      <protection locked="true" hidden="false"/>
    </xf>
    <xf numFmtId="164" fontId="0" fillId="2" borderId="60" xfId="0" applyFont="false" applyBorder="true" applyAlignment="false" applyProtection="false">
      <alignment horizontal="general" vertical="bottom" textRotation="0" wrapText="false" indent="0" shrinkToFit="false"/>
      <protection locked="true" hidden="false"/>
    </xf>
    <xf numFmtId="164" fontId="0" fillId="2" borderId="61" xfId="0" applyFont="false" applyBorder="true" applyAlignment="false" applyProtection="false">
      <alignment horizontal="general" vertical="bottom" textRotation="0" wrapText="false" indent="0" shrinkToFit="false"/>
      <protection locked="true" hidden="false"/>
    </xf>
    <xf numFmtId="164" fontId="0" fillId="2" borderId="62" xfId="0" applyFont="false" applyBorder="true" applyAlignment="false" applyProtection="false">
      <alignment horizontal="general" vertical="bottom" textRotation="0" wrapText="false" indent="0" shrinkToFit="false"/>
      <protection locked="true" hidden="false"/>
    </xf>
    <xf numFmtId="164" fontId="50" fillId="2" borderId="11" xfId="23" applyFont="true" applyBorder="true" applyAlignment="true" applyProtection="false">
      <alignment horizontal="center" vertical="bottom" textRotation="0" wrapText="false" indent="0" shrinkToFit="false"/>
      <protection locked="true" hidden="false"/>
    </xf>
    <xf numFmtId="164" fontId="50" fillId="2" borderId="12" xfId="23" applyFont="true" applyBorder="true" applyAlignment="true" applyProtection="false">
      <alignment horizontal="center" vertical="bottom" textRotation="0" wrapText="false" indent="0" shrinkToFit="false"/>
      <protection locked="true" hidden="false"/>
    </xf>
    <xf numFmtId="164" fontId="58" fillId="0" borderId="0" xfId="0" applyFont="true" applyBorder="false" applyAlignment="false" applyProtection="false">
      <alignment horizontal="general" vertical="bottom" textRotation="0" wrapText="false" indent="0" shrinkToFit="false"/>
      <protection locked="true" hidden="false"/>
    </xf>
    <xf numFmtId="164" fontId="50" fillId="14" borderId="8" xfId="23" applyFont="true" applyBorder="true" applyAlignment="true" applyProtection="false">
      <alignment horizontal="center" vertical="bottom" textRotation="0" wrapText="false" indent="0" shrinkToFit="false"/>
      <protection locked="true" hidden="false"/>
    </xf>
    <xf numFmtId="164" fontId="50" fillId="2" borderId="43" xfId="23" applyFont="true" applyBorder="true" applyAlignment="true" applyProtection="false">
      <alignment horizontal="center" vertical="bottom" textRotation="0" wrapText="false" indent="0" shrinkToFit="false"/>
      <protection locked="true" hidden="false"/>
    </xf>
    <xf numFmtId="164" fontId="10" fillId="2" borderId="63" xfId="0" applyFont="true" applyBorder="true" applyAlignment="true" applyProtection="false">
      <alignment horizontal="center" vertical="center" textRotation="0" wrapText="false" indent="0" shrinkToFit="false"/>
      <protection locked="true" hidden="false"/>
    </xf>
    <xf numFmtId="181" fontId="51" fillId="2" borderId="8" xfId="19" applyFont="true" applyBorder="true" applyAlignment="true" applyProtection="true">
      <alignment horizontal="center" vertical="bottom" textRotation="0" wrapText="false" indent="0" shrinkToFit="false"/>
      <protection locked="true" hidden="false"/>
    </xf>
    <xf numFmtId="164" fontId="10" fillId="0" borderId="58" xfId="0" applyFont="true" applyBorder="true" applyAlignment="true" applyProtection="false">
      <alignment horizontal="right" vertical="center" textRotation="0" wrapText="false" indent="0" shrinkToFit="false"/>
      <protection locked="true" hidden="false"/>
    </xf>
    <xf numFmtId="164" fontId="51" fillId="12" borderId="11" xfId="0" applyFont="true" applyBorder="true" applyAlignment="true" applyProtection="false">
      <alignment horizontal="center" vertical="bottom" textRotation="0" wrapText="false" indent="0" shrinkToFit="false"/>
      <protection locked="true" hidden="false"/>
    </xf>
    <xf numFmtId="170" fontId="50" fillId="12" borderId="8" xfId="19" applyFont="true" applyBorder="true" applyAlignment="true" applyProtection="true">
      <alignment horizontal="center" vertical="bottom" textRotation="0" wrapText="false" indent="0" shrinkToFit="false"/>
      <protection locked="true" hidden="false"/>
    </xf>
    <xf numFmtId="164" fontId="51" fillId="0" borderId="11" xfId="0" applyFont="true" applyBorder="true" applyAlignment="true" applyProtection="false">
      <alignment horizontal="center" vertical="bottom" textRotation="0" wrapText="false" indent="0" shrinkToFit="false"/>
      <protection locked="true" hidden="false"/>
    </xf>
    <xf numFmtId="182" fontId="50" fillId="0" borderId="8" xfId="15" applyFont="true" applyBorder="true" applyAlignment="true" applyProtection="true">
      <alignment horizontal="center" vertical="bottom" textRotation="0" wrapText="false" indent="0" shrinkToFit="true"/>
      <protection locked="true" hidden="false"/>
    </xf>
    <xf numFmtId="164" fontId="10" fillId="0" borderId="64" xfId="0" applyFont="true" applyBorder="true" applyAlignment="true" applyProtection="false">
      <alignment horizontal="right" vertical="center" textRotation="0" wrapText="false" indent="0" shrinkToFit="false"/>
      <protection locked="true" hidden="false"/>
    </xf>
    <xf numFmtId="178" fontId="0" fillId="0" borderId="8" xfId="15" applyFont="true" applyBorder="true" applyAlignment="true" applyProtection="true">
      <alignment horizontal="center" vertical="bottom" textRotation="0" wrapText="false" indent="0" shrinkToFit="true"/>
      <protection locked="true" hidden="false"/>
    </xf>
    <xf numFmtId="164" fontId="10" fillId="12" borderId="64" xfId="0" applyFont="true" applyBorder="true" applyAlignment="true" applyProtection="false">
      <alignment horizontal="right" vertical="center" textRotation="0" wrapText="false" indent="0" shrinkToFit="false"/>
      <protection locked="true" hidden="false"/>
    </xf>
    <xf numFmtId="164" fontId="0" fillId="0" borderId="65" xfId="0" applyFont="false" applyBorder="true" applyAlignment="false" applyProtection="false">
      <alignment horizontal="general" vertical="bottom" textRotation="0" wrapText="false" indent="0" shrinkToFit="false"/>
      <protection locked="true" hidden="false"/>
    </xf>
    <xf numFmtId="170" fontId="0" fillId="12" borderId="8" xfId="19" applyFont="true" applyBorder="true" applyAlignment="true" applyProtection="true">
      <alignment horizontal="center" vertical="bottom" textRotation="0" wrapText="false" indent="0" shrinkToFit="true"/>
      <protection locked="true" hidden="false"/>
    </xf>
    <xf numFmtId="164" fontId="0" fillId="0" borderId="66" xfId="0" applyFont="false" applyBorder="true" applyAlignment="false" applyProtection="false">
      <alignment horizontal="general" vertical="bottom" textRotation="0" wrapText="false" indent="0" shrinkToFit="false"/>
      <protection locked="true" hidden="false"/>
    </xf>
    <xf numFmtId="167" fontId="30" fillId="0" borderId="0" xfId="28" applyFont="true" applyBorder="true" applyAlignment="true" applyProtection="true">
      <alignment horizontal="right" vertical="bottom" textRotation="0" wrapText="false" indent="0" shrinkToFit="false"/>
      <protection locked="true" hidden="false"/>
    </xf>
    <xf numFmtId="164" fontId="59" fillId="0" borderId="0" xfId="23" applyFont="true" applyBorder="false" applyAlignment="false" applyProtection="false">
      <alignment horizontal="general" vertical="bottom" textRotation="0" wrapText="false" indent="0" shrinkToFit="false"/>
      <protection locked="true" hidden="false"/>
    </xf>
    <xf numFmtId="174" fontId="0" fillId="0" borderId="0" xfId="0" applyFont="false" applyBorder="false" applyAlignment="true" applyProtection="false">
      <alignment horizontal="left" vertical="bottom" textRotation="0" wrapText="false" indent="0" shrinkToFit="false"/>
      <protection locked="true" hidden="false"/>
    </xf>
    <xf numFmtId="164" fontId="50" fillId="0" borderId="0" xfId="23" applyFont="true" applyBorder="false" applyAlignment="true" applyProtection="false">
      <alignment horizontal="center" vertical="bottom" textRotation="0" wrapText="false" indent="0" shrinkToFit="false"/>
      <protection locked="true" hidden="false"/>
    </xf>
    <xf numFmtId="167" fontId="0" fillId="0" borderId="0" xfId="28" applyFont="true" applyBorder="true" applyAlignment="true" applyProtection="true">
      <alignment horizontal="center" vertical="bottom" textRotation="0" wrapText="false" indent="0" shrinkToFit="false"/>
      <protection locked="true" hidden="false"/>
    </xf>
    <xf numFmtId="175" fontId="60" fillId="0" borderId="3" xfId="0" applyFont="true" applyBorder="true" applyAlignment="true" applyProtection="false">
      <alignment horizontal="left" vertical="bottom" textRotation="0" wrapText="false" indent="0" shrinkToFit="false"/>
      <protection locked="true" hidden="false"/>
    </xf>
    <xf numFmtId="170" fontId="15" fillId="0" borderId="67" xfId="26" applyFont="true" applyBorder="true" applyAlignment="true" applyProtection="true">
      <alignment horizontal="center" vertical="bottom" textRotation="0" wrapText="false" indent="0" shrinkToFit="false"/>
      <protection locked="true" hidden="false"/>
    </xf>
    <xf numFmtId="170" fontId="50" fillId="0" borderId="31" xfId="23" applyFont="true" applyBorder="true" applyAlignment="true" applyProtection="false">
      <alignment horizontal="center" vertical="bottom" textRotation="0" wrapText="false" indent="0" shrinkToFit="false"/>
      <protection locked="true" hidden="false"/>
    </xf>
    <xf numFmtId="183" fontId="50" fillId="0" borderId="68" xfId="23" applyFont="true" applyBorder="true" applyAlignment="true" applyProtection="false">
      <alignment horizontal="left" vertical="bottom" textRotation="0" wrapText="false" indent="0" shrinkToFit="false"/>
      <protection locked="true" hidden="false"/>
    </xf>
    <xf numFmtId="170" fontId="50" fillId="0" borderId="69" xfId="23" applyFont="true" applyBorder="true" applyAlignment="true" applyProtection="false">
      <alignment horizontal="left" vertical="bottom" textRotation="0" wrapText="false" indent="0" shrinkToFit="false"/>
      <protection locked="true" hidden="false"/>
    </xf>
    <xf numFmtId="173" fontId="50" fillId="0" borderId="69" xfId="23" applyFont="true" applyBorder="true" applyAlignment="true" applyProtection="false">
      <alignment horizontal="center" vertical="bottom" textRotation="0" wrapText="false" indent="0" shrinkToFit="false"/>
      <protection locked="true" hidden="false"/>
    </xf>
    <xf numFmtId="164" fontId="50" fillId="0" borderId="69" xfId="23" applyFont="true" applyBorder="true" applyAlignment="true" applyProtection="false">
      <alignment horizontal="center" vertical="bottom" textRotation="0" wrapText="false" indent="0" shrinkToFit="false"/>
      <protection locked="true" hidden="false"/>
    </xf>
    <xf numFmtId="184" fontId="0" fillId="0" borderId="70" xfId="15" applyFont="true" applyBorder="true" applyAlignment="true" applyProtection="true">
      <alignment horizontal="right" vertical="bottom" textRotation="0" wrapText="false" indent="0" shrinkToFit="true"/>
      <protection locked="true" hidden="false"/>
    </xf>
    <xf numFmtId="184" fontId="0" fillId="0" borderId="31" xfId="15" applyFont="true" applyBorder="true" applyAlignment="true" applyProtection="true">
      <alignment horizontal="center" vertical="center" textRotation="0" wrapText="false" indent="0" shrinkToFit="false"/>
      <protection locked="true" hidden="false"/>
    </xf>
    <xf numFmtId="164" fontId="50" fillId="0" borderId="9" xfId="23" applyFont="true" applyBorder="true" applyAlignment="false" applyProtection="false">
      <alignment horizontal="general" vertical="bottom" textRotation="0" wrapText="false" indent="0" shrinkToFit="false"/>
      <protection locked="true" hidden="false"/>
    </xf>
    <xf numFmtId="170" fontId="12" fillId="0" borderId="71" xfId="26" applyFont="true" applyBorder="true" applyAlignment="true" applyProtection="true">
      <alignment horizontal="center" vertical="bottom" textRotation="0" wrapText="false" indent="0" shrinkToFit="false"/>
      <protection locked="false" hidden="false"/>
    </xf>
    <xf numFmtId="164" fontId="50" fillId="0" borderId="30" xfId="23" applyFont="true" applyBorder="true" applyAlignment="true" applyProtection="false">
      <alignment horizontal="center" vertical="bottom" textRotation="0" wrapText="false" indent="0" shrinkToFit="false"/>
      <protection locked="true" hidden="false"/>
    </xf>
    <xf numFmtId="164" fontId="50" fillId="0" borderId="72" xfId="23" applyFont="true" applyBorder="true" applyAlignment="false" applyProtection="false">
      <alignment horizontal="general" vertical="bottom" textRotation="0" wrapText="false" indent="0" shrinkToFit="false"/>
      <protection locked="true" hidden="false"/>
    </xf>
    <xf numFmtId="164" fontId="26" fillId="0" borderId="72" xfId="23" applyFont="true" applyBorder="true" applyAlignment="false" applyProtection="false">
      <alignment horizontal="general" vertical="bottom" textRotation="0" wrapText="false" indent="0" shrinkToFit="false"/>
      <protection locked="true" hidden="false"/>
    </xf>
    <xf numFmtId="164" fontId="50" fillId="0" borderId="72" xfId="23" applyFont="true" applyBorder="true" applyAlignment="true" applyProtection="false">
      <alignment horizontal="center" vertical="bottom" textRotation="0" wrapText="false" indent="0" shrinkToFit="false"/>
      <protection locked="true" hidden="false"/>
    </xf>
    <xf numFmtId="167" fontId="0" fillId="0" borderId="72" xfId="28" applyFont="true" applyBorder="true" applyAlignment="true" applyProtection="true">
      <alignment horizontal="right" vertical="bottom" textRotation="0" wrapText="false" indent="0" shrinkToFit="true"/>
      <protection locked="true" hidden="false"/>
    </xf>
    <xf numFmtId="184" fontId="0" fillId="0" borderId="30" xfId="15" applyFont="true" applyBorder="true" applyAlignment="true" applyProtection="true">
      <alignment horizontal="center" vertical="center" textRotation="0" wrapText="false" indent="0" shrinkToFit="false"/>
      <protection locked="true" hidden="false"/>
    </xf>
    <xf numFmtId="164" fontId="50" fillId="0" borderId="73" xfId="23" applyFont="true" applyBorder="true" applyAlignment="true" applyProtection="false">
      <alignment horizontal="center" vertical="bottom" textRotation="0" wrapText="false" indent="0" shrinkToFit="false"/>
      <protection locked="true" hidden="false"/>
    </xf>
    <xf numFmtId="167" fontId="61" fillId="0" borderId="74" xfId="28" applyFont="true" applyBorder="true" applyAlignment="true" applyProtection="true">
      <alignment horizontal="center" vertical="bottom" textRotation="0" wrapText="false" indent="0" shrinkToFit="false"/>
      <protection locked="true" hidden="false"/>
    </xf>
    <xf numFmtId="164" fontId="50" fillId="0" borderId="13" xfId="23" applyFont="true" applyBorder="true" applyAlignment="true" applyProtection="false">
      <alignment horizontal="center" vertical="bottom" textRotation="0" wrapText="false" indent="0" shrinkToFit="false"/>
      <protection locked="true" hidden="false"/>
    </xf>
    <xf numFmtId="167" fontId="61" fillId="0" borderId="0" xfId="28" applyFont="true" applyBorder="true" applyAlignment="true" applyProtection="true">
      <alignment horizontal="center" vertical="bottom" textRotation="0" wrapText="false" indent="0" shrinkToFit="false"/>
      <protection locked="true" hidden="false"/>
    </xf>
    <xf numFmtId="167" fontId="0" fillId="0" borderId="13" xfId="28" applyFont="true" applyBorder="true" applyAlignment="true" applyProtection="true">
      <alignment horizontal="center" vertical="bottom" textRotation="0" wrapText="false" indent="0" shrinkToFit="false"/>
      <protection locked="true" hidden="false"/>
    </xf>
    <xf numFmtId="167" fontId="20" fillId="0" borderId="0" xfId="28" applyFont="true" applyBorder="true" applyAlignment="true" applyProtection="true">
      <alignment horizontal="left" vertical="bottom" textRotation="0" wrapText="false" indent="0" shrinkToFit="false"/>
      <protection locked="true" hidden="false"/>
    </xf>
    <xf numFmtId="164" fontId="29" fillId="0" borderId="0" xfId="0" applyFont="true" applyBorder="false" applyAlignment="true" applyProtection="false">
      <alignment horizontal="center" vertical="bottom" textRotation="90" wrapText="false" indent="0" shrinkToFit="false"/>
      <protection locked="true" hidden="false"/>
    </xf>
    <xf numFmtId="164" fontId="50" fillId="0" borderId="0" xfId="23" applyFont="true" applyBorder="true" applyAlignment="true" applyProtection="false">
      <alignment horizontal="center" vertical="bottom" textRotation="0" wrapText="true" indent="0" shrinkToFit="false"/>
      <protection locked="true" hidden="false"/>
    </xf>
    <xf numFmtId="164" fontId="50" fillId="0" borderId="1" xfId="23" applyFont="true" applyBorder="true" applyAlignment="false" applyProtection="false">
      <alignment horizontal="general" vertical="bottom" textRotation="0" wrapText="false" indent="0" shrinkToFit="false"/>
      <protection locked="true" hidden="false"/>
    </xf>
    <xf numFmtId="164" fontId="18" fillId="0" borderId="9" xfId="28" applyFont="true" applyBorder="true" applyAlignment="true" applyProtection="true">
      <alignment horizontal="left" vertical="bottom" textRotation="0" wrapText="false" indent="0" shrinkToFit="false"/>
      <protection locked="true" hidden="false"/>
    </xf>
    <xf numFmtId="167" fontId="18" fillId="0" borderId="9" xfId="28" applyFont="true" applyBorder="true" applyAlignment="true" applyProtection="true">
      <alignment horizontal="left" vertical="bottom" textRotation="0" wrapText="false" indent="0" shrinkToFit="false"/>
      <protection locked="true" hidden="false"/>
    </xf>
    <xf numFmtId="164" fontId="51" fillId="0" borderId="30" xfId="23" applyFont="true" applyBorder="true" applyAlignment="true" applyProtection="false">
      <alignment horizontal="center" vertical="bottom" textRotation="0" wrapText="false" indent="0" shrinkToFit="false"/>
      <protection locked="true" hidden="false"/>
    </xf>
    <xf numFmtId="164" fontId="50" fillId="0" borderId="10" xfId="23" applyFont="true" applyBorder="true" applyAlignment="false" applyProtection="false">
      <alignment horizontal="general" vertical="bottom" textRotation="0" wrapText="false" indent="0" shrinkToFit="false"/>
      <protection locked="true" hidden="false"/>
    </xf>
    <xf numFmtId="167" fontId="0" fillId="0" borderId="13" xfId="28" applyFont="true" applyBorder="true" applyAlignment="true" applyProtection="true">
      <alignment horizontal="left" vertical="bottom" textRotation="0" wrapText="false" indent="0" shrinkToFit="false"/>
      <protection locked="true" hidden="false"/>
    </xf>
    <xf numFmtId="164" fontId="50" fillId="0" borderId="10" xfId="23" applyFont="true" applyBorder="true" applyAlignment="true" applyProtection="false">
      <alignment horizontal="left" vertical="bottom" textRotation="0" wrapText="false" indent="0" shrinkToFit="false"/>
      <protection locked="true" hidden="false"/>
    </xf>
    <xf numFmtId="164" fontId="50" fillId="0" borderId="31" xfId="23" applyFont="true" applyBorder="true" applyAlignment="true" applyProtection="false">
      <alignment horizontal="center" vertical="bottom" textRotation="0" wrapText="false" indent="0" shrinkToFit="false"/>
      <protection locked="true" hidden="false"/>
    </xf>
    <xf numFmtId="164" fontId="50" fillId="5" borderId="8" xfId="23" applyFont="true" applyBorder="true" applyAlignment="true" applyProtection="true">
      <alignment horizontal="center" vertical="bottom" textRotation="0" wrapText="false" indent="0" shrinkToFit="false"/>
      <protection locked="false" hidden="false"/>
    </xf>
    <xf numFmtId="164" fontId="30" fillId="0" borderId="3" xfId="23" applyFont="true" applyBorder="true" applyAlignment="true" applyProtection="false">
      <alignment horizontal="center" vertical="center" textRotation="0" wrapText="true" indent="0" shrinkToFit="false"/>
      <protection locked="true" hidden="false"/>
    </xf>
    <xf numFmtId="164" fontId="50" fillId="0" borderId="3" xfId="23" applyFont="true" applyBorder="true" applyAlignment="false" applyProtection="false">
      <alignment horizontal="general" vertical="bottom" textRotation="0" wrapText="false" indent="0" shrinkToFit="false"/>
      <protection locked="true" hidden="false"/>
    </xf>
    <xf numFmtId="164" fontId="51" fillId="0" borderId="50" xfId="23" applyFont="true" applyBorder="true" applyAlignment="true" applyProtection="false">
      <alignment horizontal="center" vertical="bottom" textRotation="0" wrapText="false" indent="0" shrinkToFit="false"/>
      <protection locked="true" hidden="false"/>
    </xf>
    <xf numFmtId="164" fontId="50" fillId="0" borderId="8" xfId="23" applyFont="true" applyBorder="true" applyAlignment="true" applyProtection="false">
      <alignment horizontal="center" vertical="bottom" textRotation="0" wrapText="true" indent="0" shrinkToFit="false"/>
      <protection locked="true" hidden="false"/>
    </xf>
    <xf numFmtId="164" fontId="51" fillId="0" borderId="11" xfId="23" applyFont="true" applyBorder="true" applyAlignment="true" applyProtection="false">
      <alignment horizontal="center" vertical="center" textRotation="0" wrapText="true" indent="0" shrinkToFit="false"/>
      <protection locked="true" hidden="false"/>
    </xf>
    <xf numFmtId="164" fontId="51" fillId="0" borderId="43" xfId="23" applyFont="true" applyBorder="true" applyAlignment="true" applyProtection="false">
      <alignment horizontal="left" vertical="center" textRotation="0" wrapText="true" indent="0" shrinkToFit="false"/>
      <protection locked="true" hidden="false"/>
    </xf>
    <xf numFmtId="164" fontId="51" fillId="0" borderId="5" xfId="23" applyFont="true" applyBorder="true" applyAlignment="true" applyProtection="false">
      <alignment horizontal="left" vertical="center" textRotation="0" wrapText="true" indent="0" shrinkToFit="false"/>
      <protection locked="true" hidden="false"/>
    </xf>
    <xf numFmtId="164" fontId="50" fillId="0" borderId="5" xfId="23" applyFont="true" applyBorder="true" applyAlignment="true" applyProtection="false">
      <alignment horizontal="center" vertical="center" textRotation="0" wrapText="false" indent="0" shrinkToFit="false"/>
      <protection locked="true" hidden="false"/>
    </xf>
    <xf numFmtId="167" fontId="18" fillId="0" borderId="12" xfId="28" applyFont="true" applyBorder="true" applyAlignment="true" applyProtection="true">
      <alignment horizontal="center" vertical="center" textRotation="0" wrapText="true" indent="0" shrinkToFit="false"/>
      <protection locked="true" hidden="false"/>
    </xf>
    <xf numFmtId="184" fontId="18" fillId="0" borderId="8" xfId="15" applyFont="true" applyBorder="true" applyAlignment="true" applyProtection="true">
      <alignment horizontal="center" vertical="center" textRotation="0" wrapText="false" indent="0" shrinkToFit="false"/>
      <protection locked="true" hidden="false"/>
    </xf>
    <xf numFmtId="164" fontId="51" fillId="0" borderId="34" xfId="23" applyFont="true" applyBorder="true" applyAlignment="true" applyProtection="true">
      <alignment horizontal="center" vertical="bottom" textRotation="0" wrapText="false" indent="0" shrinkToFit="false"/>
      <protection locked="false" hidden="false"/>
    </xf>
    <xf numFmtId="164" fontId="51" fillId="0" borderId="75" xfId="23" applyFont="true" applyBorder="true" applyAlignment="true" applyProtection="false">
      <alignment horizontal="center" vertical="bottom" textRotation="0" wrapText="false" indent="0" shrinkToFit="false"/>
      <protection locked="true" hidden="false"/>
    </xf>
    <xf numFmtId="164" fontId="50" fillId="0" borderId="0" xfId="23" applyFont="true" applyBorder="false" applyAlignment="true" applyProtection="false">
      <alignment horizontal="center" vertical="bottom" textRotation="0" wrapText="true" indent="0" shrinkToFit="false"/>
      <protection locked="true" hidden="false"/>
    </xf>
    <xf numFmtId="185" fontId="51" fillId="0" borderId="53" xfId="23" applyFont="true" applyBorder="true" applyAlignment="true" applyProtection="false">
      <alignment horizontal="center" vertical="bottom" textRotation="0" wrapText="false" indent="0" shrinkToFit="false"/>
      <protection locked="true" hidden="false"/>
    </xf>
    <xf numFmtId="164" fontId="51" fillId="0" borderId="3" xfId="23" applyFont="true" applyBorder="true" applyAlignment="true" applyProtection="false">
      <alignment horizontal="left" vertical="center" textRotation="0" wrapText="true" indent="0" shrinkToFit="false"/>
      <protection locked="true" hidden="false"/>
    </xf>
    <xf numFmtId="164" fontId="50" fillId="0" borderId="3" xfId="23" applyFont="true" applyBorder="true" applyAlignment="true" applyProtection="false">
      <alignment horizontal="center" vertical="center" textRotation="0" wrapText="false" indent="0" shrinkToFit="false"/>
      <protection locked="true" hidden="false"/>
    </xf>
    <xf numFmtId="164" fontId="50" fillId="0" borderId="3" xfId="23" applyFont="true" applyBorder="true" applyAlignment="true" applyProtection="false">
      <alignment horizontal="center" vertical="center" textRotation="0" wrapText="true" indent="0" shrinkToFit="false"/>
      <protection locked="true" hidden="false"/>
    </xf>
    <xf numFmtId="185" fontId="51" fillId="0" borderId="54" xfId="23" applyFont="true" applyBorder="true" applyAlignment="true" applyProtection="true">
      <alignment horizontal="center" vertical="bottom" textRotation="0" wrapText="false" indent="0" shrinkToFit="false"/>
      <protection locked="false" hidden="false"/>
    </xf>
    <xf numFmtId="185" fontId="51" fillId="0" borderId="76" xfId="23" applyFont="true" applyBorder="true" applyAlignment="true" applyProtection="false">
      <alignment horizontal="center" vertical="bottom" textRotation="0" wrapText="false" indent="0" shrinkToFit="false"/>
      <protection locked="true" hidden="false"/>
    </xf>
    <xf numFmtId="164" fontId="50" fillId="10" borderId="43" xfId="23" applyFont="true" applyBorder="true" applyAlignment="false" applyProtection="false">
      <alignment horizontal="general" vertical="bottom" textRotation="0" wrapText="false" indent="0" shrinkToFit="false"/>
      <protection locked="true" hidden="false"/>
    </xf>
    <xf numFmtId="164" fontId="50" fillId="9" borderId="8" xfId="23" applyFont="true" applyBorder="true" applyAlignment="true" applyProtection="false">
      <alignment horizontal="center" vertical="bottom" textRotation="0" wrapText="false" indent="0" shrinkToFit="false"/>
      <protection locked="true" hidden="false"/>
    </xf>
    <xf numFmtId="164" fontId="50" fillId="9" borderId="11" xfId="23" applyFont="true" applyBorder="true" applyAlignment="false" applyProtection="false">
      <alignment horizontal="general" vertical="bottom" textRotation="0" wrapText="false" indent="0" shrinkToFit="false"/>
      <protection locked="true" hidden="false"/>
    </xf>
    <xf numFmtId="164" fontId="50" fillId="9" borderId="43" xfId="23" applyFont="true" applyBorder="true" applyAlignment="false" applyProtection="false">
      <alignment horizontal="general" vertical="bottom" textRotation="0" wrapText="false" indent="0" shrinkToFit="false"/>
      <protection locked="true" hidden="false"/>
    </xf>
    <xf numFmtId="164" fontId="50" fillId="15" borderId="43" xfId="23" applyFont="true" applyBorder="true" applyAlignment="true" applyProtection="false">
      <alignment horizontal="center" vertical="bottom" textRotation="0" wrapText="false" indent="0" shrinkToFit="false"/>
      <protection locked="true" hidden="false"/>
    </xf>
    <xf numFmtId="167" fontId="0" fillId="9" borderId="43" xfId="28" applyFont="true" applyBorder="true" applyAlignment="true" applyProtection="true">
      <alignment horizontal="center" vertical="bottom" textRotation="0" wrapText="false" indent="0" shrinkToFit="false"/>
      <protection locked="true" hidden="false"/>
    </xf>
    <xf numFmtId="170" fontId="0" fillId="2" borderId="52" xfId="26" applyFont="true" applyBorder="true" applyAlignment="true" applyProtection="true">
      <alignment horizontal="general" vertical="bottom" textRotation="0" wrapText="false" indent="0" shrinkToFit="false"/>
      <protection locked="true" hidden="false"/>
    </xf>
    <xf numFmtId="164" fontId="62" fillId="0" borderId="4" xfId="23" applyFont="true" applyBorder="true" applyAlignment="true" applyProtection="false">
      <alignment horizontal="left" vertical="top" textRotation="0" wrapText="false" indent="0" shrinkToFit="false"/>
      <protection locked="true" hidden="false"/>
    </xf>
    <xf numFmtId="164" fontId="50" fillId="2" borderId="31" xfId="23" applyFont="true" applyBorder="true" applyAlignment="false" applyProtection="false">
      <alignment horizontal="general" vertical="bottom" textRotation="0" wrapText="false" indent="0" shrinkToFit="false"/>
      <protection locked="true" hidden="false"/>
    </xf>
    <xf numFmtId="167" fontId="18" fillId="0" borderId="0" xfId="28" applyFont="true" applyBorder="true" applyAlignment="true" applyProtection="true">
      <alignment horizontal="center" vertical="bottom" textRotation="0" wrapText="false" indent="0" shrinkToFit="true"/>
      <protection locked="true" hidden="false"/>
    </xf>
    <xf numFmtId="167" fontId="0" fillId="2" borderId="77" xfId="28" applyFont="true" applyBorder="true" applyAlignment="true" applyProtection="true">
      <alignment horizontal="center" vertical="bottom" textRotation="0" wrapText="false" indent="0" shrinkToFit="false"/>
      <protection locked="true" hidden="false"/>
    </xf>
    <xf numFmtId="167" fontId="0" fillId="2" borderId="78" xfId="28" applyFont="true" applyBorder="true" applyAlignment="true" applyProtection="true">
      <alignment horizontal="right" vertical="bottom" textRotation="0" wrapText="false" indent="0" shrinkToFit="false"/>
      <protection locked="true" hidden="false"/>
    </xf>
    <xf numFmtId="170" fontId="0" fillId="2" borderId="79" xfId="26" applyFont="true" applyBorder="true" applyAlignment="true" applyProtection="true">
      <alignment horizontal="general" vertical="bottom" textRotation="0" wrapText="false" indent="0" shrinkToFit="false"/>
      <protection locked="true" hidden="false"/>
    </xf>
    <xf numFmtId="178" fontId="0" fillId="0" borderId="38" xfId="15" applyFont="true" applyBorder="true" applyAlignment="true" applyProtection="true">
      <alignment horizontal="general" vertical="bottom" textRotation="0" wrapText="false" indent="0" shrinkToFit="true"/>
      <protection locked="true" hidden="false"/>
    </xf>
    <xf numFmtId="164" fontId="50" fillId="2" borderId="30" xfId="23" applyFont="true" applyBorder="true" applyAlignment="false" applyProtection="false">
      <alignment horizontal="general" vertical="bottom" textRotation="0" wrapText="false" indent="0" shrinkToFit="false"/>
      <protection locked="true" hidden="false"/>
    </xf>
    <xf numFmtId="167" fontId="0" fillId="0" borderId="36" xfId="28" applyFont="true" applyBorder="true" applyAlignment="true" applyProtection="true">
      <alignment horizontal="center" vertical="bottom" textRotation="0" wrapText="false" indent="0" shrinkToFit="false"/>
      <protection locked="true" hidden="false"/>
    </xf>
    <xf numFmtId="167" fontId="0" fillId="0" borderId="80" xfId="28" applyFont="true" applyBorder="true" applyAlignment="true" applyProtection="true">
      <alignment horizontal="right" vertical="bottom" textRotation="0" wrapText="false" indent="0" shrinkToFit="false"/>
      <protection locked="true" hidden="false"/>
    </xf>
    <xf numFmtId="178" fontId="0" fillId="2" borderId="38" xfId="15" applyFont="true" applyBorder="true" applyAlignment="true" applyProtection="true">
      <alignment horizontal="general" vertical="bottom" textRotation="0" wrapText="false" indent="0" shrinkToFit="true"/>
      <protection locked="true" hidden="false"/>
    </xf>
    <xf numFmtId="164" fontId="51" fillId="0" borderId="0" xfId="23" applyFont="true" applyBorder="false" applyAlignment="true" applyProtection="false">
      <alignment horizontal="left" vertical="bottom" textRotation="0" wrapText="false" indent="0" shrinkToFit="false"/>
      <protection locked="true" hidden="false"/>
    </xf>
    <xf numFmtId="164" fontId="50" fillId="2" borderId="30" xfId="23" applyFont="true" applyBorder="true" applyAlignment="true" applyProtection="false">
      <alignment horizontal="center" vertical="bottom" textRotation="0" wrapText="false" indent="0" shrinkToFit="false"/>
      <protection locked="true" hidden="false"/>
    </xf>
    <xf numFmtId="167" fontId="0" fillId="2" borderId="36" xfId="28" applyFont="true" applyBorder="true" applyAlignment="true" applyProtection="true">
      <alignment horizontal="center" vertical="bottom" textRotation="0" wrapText="false" indent="0" shrinkToFit="false"/>
      <protection locked="true" hidden="false"/>
    </xf>
    <xf numFmtId="167" fontId="0" fillId="2" borderId="80" xfId="28" applyFont="true" applyBorder="true" applyAlignment="true" applyProtection="true">
      <alignment horizontal="right" vertical="bottom" textRotation="0" wrapText="false" indent="0" shrinkToFit="false"/>
      <protection locked="true" hidden="false"/>
    </xf>
    <xf numFmtId="178" fontId="0" fillId="0" borderId="41" xfId="15" applyFont="true" applyBorder="true" applyAlignment="true" applyProtection="true">
      <alignment horizontal="general" vertical="bottom" textRotation="0" wrapText="false" indent="0" shrinkToFit="true"/>
      <protection locked="true" hidden="false"/>
    </xf>
    <xf numFmtId="167" fontId="0" fillId="0" borderId="68" xfId="28" applyFont="true" applyBorder="true" applyAlignment="true" applyProtection="true">
      <alignment horizontal="center" vertical="bottom" textRotation="0" wrapText="false" indent="0" shrinkToFit="false"/>
      <protection locked="true" hidden="false"/>
    </xf>
    <xf numFmtId="167" fontId="0" fillId="0" borderId="70" xfId="28" applyFont="true" applyBorder="true" applyAlignment="true" applyProtection="true">
      <alignment horizontal="right" vertical="bottom" textRotation="0" wrapText="false" indent="0" shrinkToFit="false"/>
      <protection locked="true" hidden="false"/>
    </xf>
    <xf numFmtId="167" fontId="18" fillId="2" borderId="46" xfId="28" applyFont="true" applyBorder="true" applyAlignment="true" applyProtection="true">
      <alignment horizontal="general" vertical="bottom" textRotation="0" wrapText="false" indent="0" shrinkToFit="true"/>
      <protection locked="true" hidden="false"/>
    </xf>
    <xf numFmtId="186" fontId="50" fillId="0" borderId="0" xfId="23" applyFont="true" applyBorder="false" applyAlignment="true" applyProtection="false">
      <alignment horizontal="center" vertical="bottom" textRotation="0" wrapText="false" indent="0" shrinkToFit="false"/>
      <protection locked="true" hidden="false"/>
    </xf>
    <xf numFmtId="164" fontId="50" fillId="2" borderId="13" xfId="23" applyFont="true" applyBorder="true" applyAlignment="false" applyProtection="false">
      <alignment horizontal="general" vertical="bottom" textRotation="0" wrapText="false" indent="0" shrinkToFit="false"/>
      <protection locked="true" hidden="false"/>
    </xf>
    <xf numFmtId="167" fontId="18" fillId="2" borderId="81" xfId="28" applyFont="true" applyBorder="true" applyAlignment="true" applyProtection="true">
      <alignment horizontal="center" vertical="bottom" textRotation="0" wrapText="false" indent="0" shrinkToFit="false"/>
      <protection locked="true" hidden="false"/>
    </xf>
    <xf numFmtId="167" fontId="18" fillId="2" borderId="82" xfId="28" applyFont="true" applyBorder="true" applyAlignment="true" applyProtection="true">
      <alignment horizontal="right" vertical="bottom" textRotation="0" wrapText="false" indent="0" shrinkToFit="false"/>
      <protection locked="true" hidden="false"/>
    </xf>
    <xf numFmtId="178" fontId="18" fillId="2" borderId="83" xfId="15" applyFont="true" applyBorder="true" applyAlignment="true" applyProtection="true">
      <alignment horizontal="general" vertical="bottom" textRotation="0" wrapText="false" indent="0" shrinkToFit="true"/>
      <protection locked="true" hidden="false"/>
    </xf>
    <xf numFmtId="167" fontId="18" fillId="2" borderId="60" xfId="28" applyFont="true" applyBorder="true" applyAlignment="true" applyProtection="true">
      <alignment horizontal="right" vertical="bottom" textRotation="0" wrapText="false" indent="0" shrinkToFit="false"/>
      <protection locked="true" hidden="false"/>
    </xf>
    <xf numFmtId="178" fontId="18" fillId="2" borderId="69" xfId="15" applyFont="true" applyBorder="true" applyAlignment="true" applyProtection="true">
      <alignment horizontal="general" vertical="bottom" textRotation="0" wrapText="false" indent="0" shrinkToFit="true"/>
      <protection locked="true" hidden="false"/>
    </xf>
    <xf numFmtId="170" fontId="0" fillId="0" borderId="84" xfId="19" applyFont="true" applyBorder="true" applyAlignment="true" applyProtection="true">
      <alignment horizontal="general" vertical="bottom" textRotation="0" wrapText="false" indent="0" shrinkToFit="true"/>
      <protection locked="true" hidden="false"/>
    </xf>
    <xf numFmtId="167" fontId="0" fillId="0" borderId="81" xfId="28" applyFont="true" applyBorder="true" applyAlignment="true" applyProtection="true">
      <alignment horizontal="center" vertical="bottom" textRotation="0" wrapText="false" indent="0" shrinkToFit="false"/>
      <protection locked="true" hidden="false"/>
    </xf>
    <xf numFmtId="167" fontId="0" fillId="0" borderId="85" xfId="28" applyFont="true" applyBorder="true" applyAlignment="true" applyProtection="true">
      <alignment horizontal="right" vertical="bottom" textRotation="0" wrapText="false" indent="0" shrinkToFit="false"/>
      <protection locked="true" hidden="false"/>
    </xf>
    <xf numFmtId="164" fontId="50" fillId="0" borderId="3" xfId="23" applyFont="true" applyBorder="true" applyAlignment="true" applyProtection="false">
      <alignment horizontal="center" vertical="bottom" textRotation="0" wrapText="false" indent="0" shrinkToFit="false"/>
      <protection locked="true" hidden="false"/>
    </xf>
    <xf numFmtId="167" fontId="0" fillId="0" borderId="3" xfId="28" applyFont="true" applyBorder="true" applyAlignment="true" applyProtection="true">
      <alignment horizontal="center" vertical="bottom" textRotation="0" wrapText="false" indent="0" shrinkToFit="false"/>
      <protection locked="true" hidden="false"/>
    </xf>
    <xf numFmtId="164" fontId="18" fillId="0" borderId="0" xfId="0" applyFont="true" applyBorder="false" applyAlignment="true" applyProtection="false">
      <alignment horizontal="center" vertical="bottom" textRotation="0" wrapText="true" indent="0" shrinkToFit="false"/>
      <protection locked="true" hidden="false"/>
    </xf>
    <xf numFmtId="164" fontId="20" fillId="0" borderId="0" xfId="0" applyFont="true" applyBorder="false" applyAlignment="true" applyProtection="false">
      <alignment horizontal="left" vertical="center" textRotation="0" wrapText="false" indent="2" shrinkToFit="false"/>
      <protection locked="true" hidden="false"/>
    </xf>
    <xf numFmtId="169" fontId="18" fillId="0" borderId="9" xfId="0" applyFont="true" applyBorder="true" applyAlignment="true" applyProtection="false">
      <alignment horizontal="left" vertical="bottom" textRotation="0" wrapText="false" indent="0" shrinkToFit="false"/>
      <protection locked="true" hidden="false"/>
    </xf>
    <xf numFmtId="164" fontId="18" fillId="0" borderId="30" xfId="25" applyFont="true" applyBorder="true" applyAlignment="true" applyProtection="false">
      <alignment horizontal="center" vertical="bottom" textRotation="0" wrapText="false" indent="0" shrinkToFit="false"/>
      <protection locked="true" hidden="false"/>
    </xf>
    <xf numFmtId="170" fontId="0" fillId="0" borderId="8" xfId="0" applyFont="false" applyBorder="true" applyAlignment="true" applyProtection="false">
      <alignment horizontal="center" vertical="center" textRotation="0" wrapText="true" indent="0" shrinkToFit="false"/>
      <protection locked="true" hidden="false"/>
    </xf>
    <xf numFmtId="168" fontId="0" fillId="0" borderId="10" xfId="0" applyFont="false" applyBorder="true" applyAlignment="true" applyProtection="false">
      <alignment horizontal="left" vertical="bottom" textRotation="0" wrapText="false" indent="0" shrinkToFit="false"/>
      <protection locked="true" hidden="false"/>
    </xf>
    <xf numFmtId="164" fontId="18" fillId="0" borderId="30" xfId="0" applyFont="true" applyBorder="tru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left" vertical="bottom" textRotation="0" wrapText="false" indent="1" shrinkToFit="false"/>
      <protection locked="true" hidden="false"/>
    </xf>
    <xf numFmtId="164" fontId="0" fillId="0" borderId="13" xfId="0" applyFont="false" applyBorder="true" applyAlignment="false" applyProtection="false">
      <alignment horizontal="general" vertical="bottom" textRotation="0" wrapText="false" indent="0" shrinkToFit="false"/>
      <protection locked="true" hidden="false"/>
    </xf>
    <xf numFmtId="169" fontId="0" fillId="0" borderId="13" xfId="22" applyFont="true" applyBorder="true" applyAlignment="true" applyProtection="false">
      <alignment horizontal="general" vertical="top" textRotation="0" wrapText="true" indent="0" shrinkToFit="false"/>
      <protection locked="true" hidden="false"/>
    </xf>
    <xf numFmtId="164" fontId="0" fillId="0" borderId="0" xfId="22" applyFont="true" applyBorder="false" applyAlignment="true" applyProtection="false">
      <alignment horizontal="general" vertical="top" textRotation="0" wrapText="true" indent="0" shrinkToFit="false"/>
      <protection locked="true" hidden="false"/>
    </xf>
    <xf numFmtId="164" fontId="30" fillId="0" borderId="0" xfId="0" applyFont="true" applyBorder="true" applyAlignment="true" applyProtection="false">
      <alignment horizontal="center" vertical="center" textRotation="0" wrapText="true" indent="0" shrinkToFit="false"/>
      <protection locked="true" hidden="false"/>
    </xf>
    <xf numFmtId="164" fontId="30" fillId="0" borderId="0" xfId="0" applyFont="true" applyBorder="false" applyAlignment="true" applyProtection="false">
      <alignment horizontal="center" vertical="bottom" textRotation="0" wrapText="true" indent="0" shrinkToFit="false"/>
      <protection locked="true" hidden="false"/>
    </xf>
    <xf numFmtId="164" fontId="30" fillId="0" borderId="1" xfId="0" applyFont="true" applyBorder="true" applyAlignment="true" applyProtection="false">
      <alignment horizontal="center" vertical="bottom" textRotation="0" wrapText="true" indent="0" shrinkToFit="false"/>
      <protection locked="true" hidden="false"/>
    </xf>
    <xf numFmtId="164" fontId="63" fillId="0" borderId="11" xfId="0" applyFont="true" applyBorder="true" applyAlignment="true" applyProtection="false">
      <alignment horizontal="center" vertical="center" textRotation="0" wrapText="true" indent="0" shrinkToFit="false"/>
      <protection locked="true" hidden="false"/>
    </xf>
    <xf numFmtId="164" fontId="47" fillId="0" borderId="31" xfId="0" applyFont="tru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true" indent="0" shrinkToFit="false"/>
      <protection locked="true" hidden="false"/>
    </xf>
    <xf numFmtId="164" fontId="18" fillId="0" borderId="0" xfId="0" applyFont="true" applyBorder="true" applyAlignment="true" applyProtection="false">
      <alignment horizontal="center" vertical="bottom" textRotation="0" wrapText="true" indent="0" shrinkToFit="false"/>
      <protection locked="true" hidden="false"/>
    </xf>
    <xf numFmtId="187" fontId="0" fillId="0" borderId="10" xfId="0" applyFont="false" applyBorder="true" applyAlignment="true" applyProtection="false">
      <alignment horizontal="center" vertical="center" textRotation="0" wrapText="false" indent="0" shrinkToFit="false"/>
      <protection locked="true" hidden="false"/>
    </xf>
    <xf numFmtId="187" fontId="0" fillId="0" borderId="13" xfId="0" applyFont="false" applyBorder="true" applyAlignment="true" applyProtection="false">
      <alignment horizontal="center" vertical="center" textRotation="0" wrapText="false" indent="0" shrinkToFit="false"/>
      <protection locked="true" hidden="false"/>
    </xf>
    <xf numFmtId="164" fontId="30" fillId="0" borderId="0" xfId="0" applyFont="true" applyBorder="false" applyAlignment="true" applyProtection="false">
      <alignment horizontal="left" vertical="bottom" textRotation="0" wrapText="false" indent="0" shrinkToFit="false"/>
      <protection locked="true" hidden="false"/>
    </xf>
    <xf numFmtId="188" fontId="0" fillId="0" borderId="0" xfId="0" applyFont="false" applyBorder="false" applyAlignment="false" applyProtection="false">
      <alignment horizontal="general" vertical="bottom" textRotation="0" wrapText="false" indent="0" shrinkToFit="false"/>
      <protection locked="true" hidden="false"/>
    </xf>
    <xf numFmtId="188" fontId="18" fillId="0" borderId="37" xfId="0" applyFont="true" applyBorder="true" applyAlignment="true" applyProtection="false">
      <alignment horizontal="center" vertical="center" textRotation="0" wrapText="false" indent="0" shrinkToFit="false"/>
      <protection locked="true" hidden="false"/>
    </xf>
    <xf numFmtId="168" fontId="0" fillId="5" borderId="38" xfId="0" applyFont="false" applyBorder="true" applyAlignment="true" applyProtection="true">
      <alignment horizontal="center" vertical="center" textRotation="0" wrapText="true" indent="0" shrinkToFit="false"/>
      <protection locked="false" hidden="false"/>
    </xf>
    <xf numFmtId="167" fontId="0" fillId="4" borderId="38" xfId="0" applyFont="false" applyBorder="true" applyAlignment="true" applyProtection="true">
      <alignment horizontal="center" vertical="center" textRotation="0" wrapText="false" indent="0" shrinkToFit="false"/>
      <protection locked="false" hidden="false"/>
    </xf>
    <xf numFmtId="164" fontId="0" fillId="0" borderId="38" xfId="0" applyFont="false" applyBorder="true" applyAlignment="true" applyProtection="false">
      <alignment horizontal="center" vertical="center" textRotation="0" wrapText="false" indent="0" shrinkToFit="false"/>
      <protection locked="true" hidden="false"/>
    </xf>
    <xf numFmtId="164" fontId="0" fillId="0" borderId="39" xfId="0" applyFont="false" applyBorder="true" applyAlignment="true" applyProtection="false">
      <alignment horizontal="center" vertical="center" textRotation="0" wrapText="true" indent="0" shrinkToFit="false"/>
      <protection locked="true" hidden="false"/>
    </xf>
    <xf numFmtId="187" fontId="0" fillId="0" borderId="36" xfId="0" applyFont="false" applyBorder="true" applyAlignment="true" applyProtection="false">
      <alignment horizontal="center" vertical="center" textRotation="0" wrapText="false" indent="0" shrinkToFit="false"/>
      <protection locked="true" hidden="false"/>
    </xf>
    <xf numFmtId="187" fontId="0" fillId="0" borderId="60" xfId="0" applyFont="false" applyBorder="true" applyAlignment="true" applyProtection="false">
      <alignment horizontal="center" vertical="center" textRotation="0" wrapText="false" indent="0" shrinkToFit="false"/>
      <protection locked="true" hidden="false"/>
    </xf>
    <xf numFmtId="187" fontId="0" fillId="0" borderId="80" xfId="0" applyFont="false" applyBorder="true" applyAlignment="true" applyProtection="false">
      <alignment horizontal="center" vertical="center" textRotation="0" wrapText="false" indent="0" shrinkToFit="false"/>
      <protection locked="true" hidden="false"/>
    </xf>
    <xf numFmtId="187" fontId="0" fillId="0" borderId="40" xfId="0" applyFont="false" applyBorder="true" applyAlignment="true" applyProtection="false">
      <alignment horizontal="center" vertical="center" textRotation="0" wrapText="false" indent="0" shrinkToFit="false"/>
      <protection locked="true" hidden="false"/>
    </xf>
    <xf numFmtId="189" fontId="30" fillId="0" borderId="0" xfId="0" applyFont="true" applyBorder="false" applyAlignment="false" applyProtection="false">
      <alignment horizontal="general" vertical="bottom" textRotation="0" wrapText="false" indent="0" shrinkToFit="false"/>
      <protection locked="true" hidden="false"/>
    </xf>
    <xf numFmtId="164" fontId="0" fillId="4" borderId="86" xfId="0" applyFont="false" applyBorder="true" applyAlignment="true" applyProtection="true">
      <alignment horizontal="left" vertical="center" textRotation="0" wrapText="true" indent="0" shrinkToFit="false"/>
      <protection locked="false" hidden="false"/>
    </xf>
    <xf numFmtId="164" fontId="64" fillId="0" borderId="0" xfId="0" applyFont="true" applyBorder="false" applyAlignment="false" applyProtection="false">
      <alignment horizontal="general" vertical="bottom" textRotation="0" wrapText="false" indent="0" shrinkToFit="false"/>
      <protection locked="true" hidden="false"/>
    </xf>
    <xf numFmtId="168" fontId="0" fillId="4" borderId="87" xfId="0" applyFont="false" applyBorder="true" applyAlignment="true" applyProtection="true">
      <alignment horizontal="center" vertical="center" textRotation="0" wrapText="true" indent="0" shrinkToFit="false"/>
      <protection locked="false" hidden="false"/>
    </xf>
    <xf numFmtId="187" fontId="0" fillId="4" borderId="87" xfId="0" applyFont="false" applyBorder="true" applyAlignment="true" applyProtection="true">
      <alignment horizontal="right" vertical="center" textRotation="0" wrapText="false" indent="0" shrinkToFit="false"/>
      <protection locked="false" hidden="false"/>
    </xf>
    <xf numFmtId="168" fontId="0" fillId="5" borderId="83" xfId="0" applyFont="true" applyBorder="true" applyAlignment="true" applyProtection="true">
      <alignment horizontal="center" vertical="center" textRotation="0" wrapText="false" indent="0" shrinkToFit="false"/>
      <protection locked="false" hidden="false"/>
    </xf>
    <xf numFmtId="187" fontId="0" fillId="4" borderId="41" xfId="0" applyFont="false" applyBorder="true" applyAlignment="true" applyProtection="true">
      <alignment horizontal="right" vertical="center" textRotation="0" wrapText="false" indent="0" shrinkToFit="false"/>
      <protection locked="false" hidden="false"/>
    </xf>
    <xf numFmtId="187" fontId="0" fillId="4" borderId="42" xfId="0" applyFont="false" applyBorder="true" applyAlignment="true" applyProtection="true">
      <alignment horizontal="right" vertical="center" textRotation="0" wrapText="false" indent="0" shrinkToFit="false"/>
      <protection locked="false" hidden="false"/>
    </xf>
    <xf numFmtId="169" fontId="0" fillId="0" borderId="0" xfId="17" applyFont="true" applyBorder="true" applyAlignment="true" applyProtection="true">
      <alignment horizontal="general" vertical="center" textRotation="0" wrapText="true" indent="0" shrinkToFit="false"/>
      <protection locked="true" hidden="false"/>
    </xf>
    <xf numFmtId="164" fontId="18" fillId="0" borderId="0" xfId="0" applyFont="true" applyBorder="false" applyAlignment="true" applyProtection="false">
      <alignment horizontal="general" vertical="bottom" textRotation="0" wrapText="true" indent="0" shrinkToFit="false"/>
      <protection locked="true" hidden="false"/>
    </xf>
    <xf numFmtId="164" fontId="18" fillId="0" borderId="11" xfId="0" applyFont="true" applyBorder="true" applyAlignment="true" applyProtection="false">
      <alignment horizontal="center" vertical="center" textRotation="0" wrapText="true" indent="0" shrinkToFit="false"/>
      <protection locked="true" hidden="false"/>
    </xf>
    <xf numFmtId="164" fontId="18" fillId="0" borderId="43" xfId="0" applyFont="true" applyBorder="true" applyAlignment="true" applyProtection="false">
      <alignment horizontal="center" vertical="center" textRotation="0" wrapText="true" indent="0" shrinkToFit="false"/>
      <protection locked="true" hidden="false"/>
    </xf>
    <xf numFmtId="164" fontId="18" fillId="0" borderId="12" xfId="0" applyFont="true" applyBorder="true" applyAlignment="true" applyProtection="false">
      <alignment horizontal="center" vertical="center" textRotation="0" wrapText="true" indent="0" shrinkToFit="false"/>
      <protection locked="true" hidden="false"/>
    </xf>
    <xf numFmtId="164" fontId="18" fillId="0" borderId="4" xfId="0" applyFont="true" applyBorder="true" applyAlignment="true" applyProtection="false">
      <alignment horizontal="center" vertical="center" textRotation="0" wrapText="true" indent="0" shrinkToFit="false"/>
      <protection locked="true" hidden="false"/>
    </xf>
    <xf numFmtId="164" fontId="0" fillId="2" borderId="7" xfId="0" applyFont="false" applyBorder="true" applyAlignment="false" applyProtection="false">
      <alignment horizontal="general" vertical="bottom" textRotation="0" wrapText="false" indent="0" shrinkToFit="false"/>
      <protection locked="true" hidden="false"/>
    </xf>
    <xf numFmtId="164" fontId="0" fillId="2" borderId="5" xfId="0" applyFont="false" applyBorder="true" applyAlignment="false" applyProtection="false">
      <alignment horizontal="general" vertical="bottom" textRotation="0" wrapText="false" indent="0" shrinkToFit="false"/>
      <protection locked="true" hidden="false"/>
    </xf>
    <xf numFmtId="164" fontId="18" fillId="2" borderId="12" xfId="0" applyFont="true" applyBorder="true" applyAlignment="true" applyProtection="false">
      <alignment horizontal="center" vertical="center" textRotation="0" wrapText="false" indent="0" shrinkToFit="false"/>
      <protection locked="true" hidden="false"/>
    </xf>
    <xf numFmtId="187" fontId="21" fillId="2" borderId="7" xfId="0" applyFont="true" applyBorder="true" applyAlignment="true" applyProtection="false">
      <alignment horizontal="center" vertical="center" textRotation="0" wrapText="false" indent="0" shrinkToFit="false"/>
      <protection locked="true" hidden="false"/>
    </xf>
    <xf numFmtId="187" fontId="21" fillId="2" borderId="5" xfId="0" applyFont="true" applyBorder="true" applyAlignment="true" applyProtection="false">
      <alignment horizontal="center" vertical="center" textRotation="0" wrapText="false" indent="0" shrinkToFit="false"/>
      <protection locked="true" hidden="false"/>
    </xf>
    <xf numFmtId="187" fontId="21" fillId="2" borderId="4" xfId="0" applyFont="true" applyBorder="true" applyAlignment="true" applyProtection="false">
      <alignment horizontal="center" vertical="center" textRotation="0" wrapText="false" indent="0" shrinkToFit="false"/>
      <protection locked="true" hidden="false"/>
    </xf>
    <xf numFmtId="187" fontId="21" fillId="2" borderId="31" xfId="0" applyFont="true" applyBorder="true" applyAlignment="true" applyProtection="false">
      <alignment horizontal="center" vertical="center" textRotation="0" wrapText="false" indent="0" shrinkToFit="false"/>
      <protection locked="true" hidden="false"/>
    </xf>
    <xf numFmtId="164" fontId="0" fillId="11" borderId="31" xfId="0" applyFont="false" applyBorder="true" applyAlignment="false" applyProtection="false">
      <alignment horizontal="general" vertical="bottom" textRotation="0" wrapText="false" indent="0" shrinkToFit="false"/>
      <protection locked="true" hidden="false"/>
    </xf>
    <xf numFmtId="164" fontId="0" fillId="11" borderId="31" xfId="0" applyFont="false" applyBorder="true" applyAlignment="true" applyProtection="false">
      <alignment horizontal="center" vertical="bottom" textRotation="0" wrapText="false" indent="0" shrinkToFit="false"/>
      <protection locked="true" hidden="false"/>
    </xf>
    <xf numFmtId="164" fontId="0" fillId="11" borderId="7" xfId="0" applyFont="false" applyBorder="true" applyAlignment="false" applyProtection="false">
      <alignment horizontal="general" vertical="bottom" textRotation="0" wrapText="false" indent="0" shrinkToFit="false"/>
      <protection locked="true" hidden="false"/>
    </xf>
    <xf numFmtId="164" fontId="0" fillId="11" borderId="5" xfId="0" applyFont="false" applyBorder="true" applyAlignment="true" applyProtection="false">
      <alignment horizontal="center" vertical="bottom" textRotation="0" wrapText="false" indent="0" shrinkToFit="false"/>
      <protection locked="true" hidden="false"/>
    </xf>
    <xf numFmtId="164" fontId="0" fillId="11" borderId="5" xfId="0" applyFont="false" applyBorder="true" applyAlignment="false" applyProtection="false">
      <alignment horizontal="general" vertical="bottom" textRotation="0" wrapText="false" indent="0" shrinkToFit="false"/>
      <protection locked="true" hidden="false"/>
    </xf>
    <xf numFmtId="164" fontId="0" fillId="11" borderId="4" xfId="0" applyFont="false" applyBorder="true" applyAlignment="false" applyProtection="false">
      <alignment horizontal="general" vertical="bottom" textRotation="0" wrapText="false" indent="0" shrinkToFit="false"/>
      <protection locked="true" hidden="false"/>
    </xf>
    <xf numFmtId="164" fontId="0" fillId="2" borderId="10" xfId="0" applyFont="false" applyBorder="true" applyAlignment="false" applyProtection="false">
      <alignment horizontal="general" vertical="bottom" textRotation="0" wrapText="false" indent="0" shrinkToFit="false"/>
      <protection locked="true" hidden="false"/>
    </xf>
    <xf numFmtId="164" fontId="0" fillId="2" borderId="3" xfId="0" applyFont="false" applyBorder="true" applyAlignment="false" applyProtection="false">
      <alignment horizontal="general" vertical="bottom" textRotation="0" wrapText="false" indent="0" shrinkToFit="false"/>
      <protection locked="true" hidden="false"/>
    </xf>
    <xf numFmtId="191" fontId="5" fillId="2" borderId="10" xfId="0" applyFont="true" applyBorder="true" applyAlignment="true" applyProtection="false">
      <alignment horizontal="center" vertical="bottom" textRotation="0" wrapText="false" indent="0" shrinkToFit="false"/>
      <protection locked="true" hidden="false"/>
    </xf>
    <xf numFmtId="191" fontId="5" fillId="2" borderId="3" xfId="0" applyFont="true" applyBorder="true" applyAlignment="true" applyProtection="false">
      <alignment horizontal="center" vertical="bottom" textRotation="0" wrapText="false" indent="0" shrinkToFit="false"/>
      <protection locked="true" hidden="false"/>
    </xf>
    <xf numFmtId="191" fontId="5" fillId="2" borderId="2" xfId="0" applyFont="true" applyBorder="true" applyAlignment="true" applyProtection="false">
      <alignment horizontal="center" vertical="bottom" textRotation="0" wrapText="false" indent="0" shrinkToFit="false"/>
      <protection locked="true" hidden="false"/>
    </xf>
    <xf numFmtId="191" fontId="5" fillId="2" borderId="13" xfId="0" applyFont="true" applyBorder="true" applyAlignment="true" applyProtection="false">
      <alignment horizontal="center" vertical="bottom" textRotation="0" wrapText="false" indent="0" shrinkToFit="false"/>
      <protection locked="true" hidden="false"/>
    </xf>
    <xf numFmtId="164" fontId="0" fillId="11" borderId="13" xfId="0" applyFont="false" applyBorder="true" applyAlignment="false" applyProtection="false">
      <alignment horizontal="general" vertical="bottom" textRotation="0" wrapText="false" indent="0" shrinkToFit="false"/>
      <protection locked="true" hidden="false"/>
    </xf>
    <xf numFmtId="164" fontId="0" fillId="11" borderId="13" xfId="0" applyFont="false" applyBorder="true" applyAlignment="true" applyProtection="false">
      <alignment horizontal="center" vertical="bottom" textRotation="0" wrapText="false" indent="0" shrinkToFit="false"/>
      <protection locked="true" hidden="false"/>
    </xf>
    <xf numFmtId="164" fontId="0" fillId="11" borderId="10" xfId="0" applyFont="false" applyBorder="true" applyAlignment="false" applyProtection="false">
      <alignment horizontal="general" vertical="bottom" textRotation="0" wrapText="false" indent="0" shrinkToFit="false"/>
      <protection locked="true" hidden="false"/>
    </xf>
    <xf numFmtId="164" fontId="0" fillId="11" borderId="3" xfId="0" applyFont="false" applyBorder="true" applyAlignment="true" applyProtection="false">
      <alignment horizontal="center" vertical="bottom" textRotation="0" wrapText="false" indent="0" shrinkToFit="false"/>
      <protection locked="true" hidden="false"/>
    </xf>
    <xf numFmtId="164" fontId="0" fillId="11" borderId="3" xfId="0" applyFont="false" applyBorder="true" applyAlignment="false" applyProtection="false">
      <alignment horizontal="general" vertical="bottom" textRotation="0" wrapText="false" indent="0" shrinkToFit="false"/>
      <protection locked="true" hidden="false"/>
    </xf>
    <xf numFmtId="164" fontId="0" fillId="11" borderId="2" xfId="0" applyFont="false" applyBorder="true" applyAlignment="false" applyProtection="false">
      <alignment horizontal="general" vertical="bottom" textRotation="0" wrapText="false" indent="0" shrinkToFit="false"/>
      <protection locked="true" hidden="false"/>
    </xf>
    <xf numFmtId="173" fontId="0" fillId="4" borderId="0" xfId="0" applyFont="false" applyBorder="false" applyAlignment="true" applyProtection="true">
      <alignment horizontal="center" vertical="bottom" textRotation="0" wrapText="false" indent="0" shrinkToFit="false"/>
      <protection locked="false" hidden="false"/>
    </xf>
    <xf numFmtId="164" fontId="51" fillId="0" borderId="1" xfId="23" applyFont="true" applyBorder="true" applyAlignment="false" applyProtection="false">
      <alignment horizontal="general" vertical="bottom" textRotation="0" wrapText="false" indent="0" shrinkToFit="false"/>
      <protection locked="true" hidden="false"/>
    </xf>
    <xf numFmtId="164" fontId="50" fillId="0" borderId="1" xfId="23" applyFont="true" applyBorder="true" applyAlignment="true" applyProtection="false">
      <alignment horizontal="center" vertical="bottom" textRotation="0" wrapText="false" indent="0" shrinkToFit="false"/>
      <protection locked="true" hidden="false"/>
    </xf>
    <xf numFmtId="164" fontId="42"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right" vertical="bottom" textRotation="0" wrapText="false" indent="0" shrinkToFit="false"/>
      <protection locked="true" hidden="false"/>
    </xf>
    <xf numFmtId="164" fontId="20" fillId="4" borderId="13" xfId="0" applyFont="true" applyBorder="true" applyAlignment="true" applyProtection="true">
      <alignment horizontal="center" vertical="bottom" textRotation="0" wrapText="false" indent="0" shrinkToFit="false"/>
      <protection locked="false" hidden="false"/>
    </xf>
    <xf numFmtId="164" fontId="20" fillId="0" borderId="13" xfId="0" applyFont="true" applyBorder="true" applyAlignment="true" applyProtection="false">
      <alignment horizontal="center" vertical="bottom" textRotation="0" wrapText="false" indent="0" shrinkToFit="false"/>
      <protection locked="true" hidden="false"/>
    </xf>
    <xf numFmtId="164" fontId="20" fillId="0" borderId="9" xfId="0" applyFont="true" applyBorder="true" applyAlignment="false" applyProtection="false">
      <alignment horizontal="general" vertical="bottom" textRotation="0" wrapText="false" indent="0" shrinkToFit="false"/>
      <protection locked="true" hidden="false"/>
    </xf>
    <xf numFmtId="170" fontId="20" fillId="0" borderId="13" xfId="19"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false">
      <alignment horizontal="right" vertical="bottom" textRotation="90" wrapText="false" indent="0" shrinkToFit="false"/>
      <protection locked="true" hidden="false"/>
    </xf>
    <xf numFmtId="164" fontId="25" fillId="0" borderId="88" xfId="0" applyFont="true" applyBorder="true" applyAlignment="true" applyProtection="false">
      <alignment horizontal="center" vertical="top" textRotation="0" wrapText="true" indent="0" shrinkToFit="false"/>
      <protection locked="true" hidden="false"/>
    </xf>
    <xf numFmtId="164" fontId="18" fillId="2" borderId="8" xfId="0" applyFont="true" applyBorder="true" applyAlignment="true" applyProtection="false">
      <alignment horizontal="center" vertical="bottom" textRotation="0" wrapText="false" indent="0" shrinkToFit="false"/>
      <protection locked="true" hidden="false"/>
    </xf>
    <xf numFmtId="172" fontId="0" fillId="4" borderId="48" xfId="0" applyFont="false" applyBorder="true" applyAlignment="true" applyProtection="true">
      <alignment horizontal="center" vertical="bottom" textRotation="0" wrapText="false" indent="0" shrinkToFit="false"/>
      <protection locked="false" hidden="false"/>
    </xf>
    <xf numFmtId="172" fontId="0" fillId="4" borderId="47" xfId="0" applyFont="false" applyBorder="true" applyAlignment="true" applyProtection="true">
      <alignment horizontal="center" vertical="bottom" textRotation="0" wrapText="false" indent="0" shrinkToFit="false"/>
      <protection locked="false" hidden="false"/>
    </xf>
    <xf numFmtId="172" fontId="0" fillId="4" borderId="49" xfId="0" applyFont="false" applyBorder="true" applyAlignment="true" applyProtection="true">
      <alignment horizontal="center" vertical="bottom" textRotation="0" wrapText="false" indent="0" shrinkToFit="false"/>
      <protection locked="false" hidden="false"/>
    </xf>
    <xf numFmtId="192" fontId="18" fillId="2" borderId="8" xfId="0" applyFont="true" applyBorder="true" applyAlignment="true" applyProtection="false">
      <alignment horizontal="center" vertical="bottom" textRotation="0" wrapText="false" indent="0" shrinkToFit="true"/>
      <protection locked="true" hidden="false"/>
    </xf>
    <xf numFmtId="164" fontId="18" fillId="0" borderId="8" xfId="0" applyFont="true" applyBorder="true" applyAlignment="true" applyProtection="false">
      <alignment horizontal="right" vertical="center" textRotation="0" wrapText="false" indent="0" shrinkToFit="false"/>
      <protection locked="true" hidden="false"/>
    </xf>
    <xf numFmtId="170" fontId="0" fillId="0" borderId="7" xfId="19" applyFont="true" applyBorder="true" applyAlignment="true" applyProtection="true">
      <alignment horizontal="center" vertical="bottom" textRotation="0" wrapText="false" indent="0" shrinkToFit="false"/>
      <protection locked="true" hidden="false"/>
    </xf>
    <xf numFmtId="170" fontId="0" fillId="0" borderId="31" xfId="19" applyFont="true" applyBorder="true" applyAlignment="true" applyProtection="true">
      <alignment horizontal="center" vertical="bottom" textRotation="0" wrapText="false" indent="0" shrinkToFit="false"/>
      <protection locked="true" hidden="false"/>
    </xf>
    <xf numFmtId="193" fontId="0" fillId="0" borderId="13" xfId="15" applyFont="true" applyBorder="true" applyAlignment="true" applyProtection="true">
      <alignment horizontal="center" vertical="bottom" textRotation="0" wrapText="false" indent="0" shrinkToFit="true"/>
      <protection locked="true" hidden="false"/>
    </xf>
    <xf numFmtId="170" fontId="0" fillId="0" borderId="9" xfId="19" applyFont="true" applyBorder="true" applyAlignment="true" applyProtection="true">
      <alignment horizontal="center" vertical="bottom" textRotation="0" wrapText="false" indent="0" shrinkToFit="false"/>
      <protection locked="true" hidden="false"/>
    </xf>
    <xf numFmtId="170" fontId="0" fillId="0" borderId="30" xfId="19" applyFont="true" applyBorder="true" applyAlignment="true" applyProtection="true">
      <alignment horizontal="center" vertical="bottom" textRotation="0" wrapText="false" indent="0" shrinkToFit="false"/>
      <protection locked="true" hidden="false"/>
    </xf>
    <xf numFmtId="193" fontId="0" fillId="0" borderId="10" xfId="15" applyFont="true" applyBorder="true" applyAlignment="true" applyProtection="true">
      <alignment horizontal="center" vertical="bottom" textRotation="0" wrapText="false" indent="0" shrinkToFit="true"/>
      <protection locked="true" hidden="false"/>
    </xf>
    <xf numFmtId="164" fontId="18" fillId="0" borderId="0" xfId="0" applyFont="true" applyBorder="false" applyAlignment="true" applyProtection="false">
      <alignment horizontal="right" vertical="center" textRotation="0" wrapText="false" indent="0" shrinkToFit="false"/>
      <protection locked="true" hidden="false"/>
    </xf>
    <xf numFmtId="193" fontId="0" fillId="0" borderId="0" xfId="15" applyFont="true" applyBorder="true" applyAlignment="true" applyProtection="true">
      <alignment horizontal="center" vertical="bottom" textRotation="0" wrapText="false" indent="0" shrinkToFit="tru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0" fillId="0" borderId="0" xfId="22" applyFont="true" applyBorder="false" applyAlignment="true" applyProtection="false">
      <alignment horizontal="left" vertical="top" textRotation="0" wrapText="false" indent="0" shrinkToFit="false"/>
      <protection locked="true" hidden="false"/>
    </xf>
    <xf numFmtId="164" fontId="20" fillId="0" borderId="0" xfId="0" applyFont="true" applyBorder="false" applyAlignment="true" applyProtection="false">
      <alignment horizontal="left" vertical="center" textRotation="0" wrapText="false" indent="12" shrinkToFit="false"/>
      <protection locked="true" hidden="false"/>
    </xf>
    <xf numFmtId="164" fontId="0" fillId="0" borderId="0" xfId="0" applyFont="false" applyBorder="false" applyAlignment="true" applyProtection="false">
      <alignment horizontal="center" vertical="top" textRotation="0" wrapText="false" indent="0" shrinkToFit="false"/>
      <protection locked="true" hidden="false"/>
    </xf>
    <xf numFmtId="164" fontId="39" fillId="0" borderId="0" xfId="0" applyFont="true" applyBorder="false" applyAlignment="true" applyProtection="false">
      <alignment horizontal="left" vertical="center" textRotation="0" wrapText="false" indent="12" shrinkToFit="false"/>
      <protection locked="true" hidden="false"/>
    </xf>
    <xf numFmtId="164" fontId="0" fillId="0" borderId="13" xfId="0" applyFont="false" applyBorder="true" applyAlignment="true" applyProtection="false">
      <alignment horizontal="center" vertical="bottom" textRotation="0" wrapText="false" indent="0" shrinkToFit="false"/>
      <protection locked="true" hidden="false"/>
    </xf>
    <xf numFmtId="164" fontId="0" fillId="0" borderId="10" xfId="22" applyFont="true" applyBorder="true" applyAlignment="true" applyProtection="false">
      <alignment horizontal="general" vertical="top" textRotation="0" wrapText="true" indent="0" shrinkToFit="false"/>
      <protection locked="true" hidden="false"/>
    </xf>
    <xf numFmtId="194" fontId="0" fillId="0" borderId="2" xfId="22" applyFont="true" applyBorder="true" applyAlignment="true" applyProtection="false">
      <alignment horizontal="left" vertical="top" textRotation="0" wrapText="true" indent="0" shrinkToFit="false"/>
      <protection locked="true" hidden="false"/>
    </xf>
    <xf numFmtId="164" fontId="0" fillId="0" borderId="30" xfId="0" applyFont="false" applyBorder="true" applyAlignment="false" applyProtection="false">
      <alignment horizontal="general" vertical="bottom" textRotation="0" wrapText="false" indent="0" shrinkToFit="false"/>
      <protection locked="true" hidden="false"/>
    </xf>
    <xf numFmtId="168" fontId="0" fillId="0" borderId="13" xfId="22" applyFont="true" applyBorder="true" applyAlignment="true" applyProtection="false">
      <alignment horizontal="general" vertical="top" textRotation="0" wrapText="true" indent="0" shrinkToFit="false"/>
      <protection locked="true" hidden="false"/>
    </xf>
    <xf numFmtId="164" fontId="18" fillId="4" borderId="13" xfId="0" applyFont="true" applyBorder="true" applyAlignment="true" applyProtection="true">
      <alignment horizontal="center" vertical="center" textRotation="0" wrapText="true" indent="0" shrinkToFit="false"/>
      <protection locked="false" hidden="false"/>
    </xf>
    <xf numFmtId="164" fontId="0" fillId="0" borderId="9" xfId="0" applyFont="false" applyBorder="true" applyAlignment="false" applyProtection="true">
      <alignment horizontal="general" vertical="bottom" textRotation="0" wrapText="false" indent="0" shrinkToFit="false"/>
      <protection locked="false" hidden="false"/>
    </xf>
    <xf numFmtId="164" fontId="25" fillId="0" borderId="0" xfId="0" applyFont="true" applyBorder="false" applyAlignment="true" applyProtection="false">
      <alignment horizontal="general" vertical="center" textRotation="0" wrapText="true" indent="0" shrinkToFit="false"/>
      <protection locked="true" hidden="false"/>
    </xf>
    <xf numFmtId="164" fontId="25" fillId="0" borderId="0" xfId="0" applyFont="true" applyBorder="true" applyAlignment="true" applyProtection="false">
      <alignment horizontal="center" vertical="center" textRotation="0" wrapText="true" indent="0" shrinkToFit="false"/>
      <protection locked="true" hidden="false"/>
    </xf>
    <xf numFmtId="167" fontId="20" fillId="0" borderId="0" xfId="0" applyFont="true" applyBorder="false" applyAlignment="true" applyProtection="false">
      <alignment horizontal="right" vertical="center" textRotation="0" wrapText="false" indent="0" shrinkToFit="false"/>
      <protection locked="true" hidden="false"/>
    </xf>
    <xf numFmtId="170" fontId="12" fillId="0" borderId="0" xfId="19" applyFont="true" applyBorder="true" applyAlignment="true" applyProtection="true">
      <alignment horizontal="left" vertical="bottom" textRotation="0" wrapText="false" indent="0" shrinkToFit="false"/>
      <protection locked="true" hidden="false"/>
    </xf>
    <xf numFmtId="173" fontId="0" fillId="0" borderId="10" xfId="0" applyFont="false" applyBorder="true" applyAlignment="true" applyProtection="false">
      <alignment horizontal="general" vertical="top" textRotation="0" wrapText="false" indent="0" shrinkToFit="false"/>
      <protection locked="true" hidden="false"/>
    </xf>
    <xf numFmtId="167" fontId="20" fillId="0" borderId="0" xfId="0" applyFont="true" applyBorder="false" applyAlignment="true" applyProtection="false">
      <alignment horizontal="general" vertical="top" textRotation="0" wrapText="false" indent="0" shrinkToFit="false"/>
      <protection locked="true" hidden="false"/>
    </xf>
    <xf numFmtId="164" fontId="20" fillId="4" borderId="9" xfId="0" applyFont="true" applyBorder="true" applyAlignment="true" applyProtection="false">
      <alignment horizontal="left" vertical="bottom" textRotation="0" wrapText="false" indent="0" shrinkToFit="false"/>
      <protection locked="true" hidden="false"/>
    </xf>
    <xf numFmtId="164" fontId="20" fillId="0" borderId="10" xfId="0" applyFont="true" applyBorder="true" applyAlignment="false" applyProtection="false">
      <alignment horizontal="general" vertical="bottom" textRotation="0" wrapText="false" indent="0" shrinkToFit="false"/>
      <protection locked="true" hidden="false"/>
    </xf>
    <xf numFmtId="172" fontId="18" fillId="4" borderId="48" xfId="0" applyFont="true" applyBorder="true" applyAlignment="true" applyProtection="true">
      <alignment horizontal="center" vertical="center" textRotation="0" wrapText="true" indent="0" shrinkToFit="false"/>
      <protection locked="false" hidden="false"/>
    </xf>
    <xf numFmtId="172" fontId="18" fillId="4" borderId="47" xfId="0" applyFont="true" applyBorder="true" applyAlignment="true" applyProtection="true">
      <alignment horizontal="center" vertical="center" textRotation="0" wrapText="true" indent="0" shrinkToFit="false"/>
      <protection locked="false" hidden="false"/>
    </xf>
    <xf numFmtId="172" fontId="18" fillId="4" borderId="49" xfId="0" applyFont="true" applyBorder="true" applyAlignment="true" applyProtection="true">
      <alignment horizontal="center" vertical="center" textRotation="0" wrapText="true" indent="0" shrinkToFit="false"/>
      <protection locked="false" hidden="false"/>
    </xf>
    <xf numFmtId="164" fontId="18" fillId="0" borderId="31" xfId="0" applyFont="true" applyBorder="true" applyAlignment="true" applyProtection="false">
      <alignment horizontal="center" vertical="center" textRotation="0" wrapText="false" indent="0" shrinkToFit="false"/>
      <protection locked="true" hidden="false"/>
    </xf>
    <xf numFmtId="195" fontId="18" fillId="2" borderId="31" xfId="0" applyFont="true" applyBorder="true" applyAlignment="true" applyProtection="false">
      <alignment horizontal="center" vertical="center" textRotation="0" wrapText="true" indent="0" shrinkToFit="false"/>
      <protection locked="true" hidden="false"/>
    </xf>
    <xf numFmtId="178" fontId="0" fillId="0" borderId="36" xfId="15" applyFont="true" applyBorder="true" applyAlignment="true" applyProtection="true">
      <alignment horizontal="general" vertical="center" textRotation="0" wrapText="false" indent="0" shrinkToFit="true"/>
      <protection locked="true" hidden="false"/>
    </xf>
    <xf numFmtId="178" fontId="0" fillId="0" borderId="80" xfId="15" applyFont="true" applyBorder="true" applyAlignment="true" applyProtection="true">
      <alignment horizontal="general" vertical="center" textRotation="0" wrapText="false" indent="0" shrinkToFit="true"/>
      <protection locked="true" hidden="false"/>
    </xf>
    <xf numFmtId="178" fontId="0" fillId="0" borderId="37" xfId="15" applyFont="true" applyBorder="true" applyAlignment="true" applyProtection="true">
      <alignment horizontal="center" vertical="center" textRotation="0" wrapText="false" indent="0" shrinkToFit="true"/>
      <protection locked="true" hidden="false"/>
    </xf>
    <xf numFmtId="178" fontId="0" fillId="4" borderId="37" xfId="15" applyFont="true" applyBorder="true" applyAlignment="true" applyProtection="true">
      <alignment horizontal="general" vertical="bottom" textRotation="0" wrapText="false" indent="0" shrinkToFit="false"/>
      <protection locked="false" hidden="false"/>
    </xf>
    <xf numFmtId="178" fontId="0" fillId="4" borderId="39" xfId="15" applyFont="true" applyBorder="true" applyAlignment="true" applyProtection="true">
      <alignment horizontal="general" vertical="bottom" textRotation="0" wrapText="false" indent="0" shrinkToFit="false"/>
      <protection locked="false" hidden="false"/>
    </xf>
    <xf numFmtId="196" fontId="0" fillId="0" borderId="38" xfId="15" applyFont="true" applyBorder="true" applyAlignment="true" applyProtection="true">
      <alignment horizontal="general" vertical="center" textRotation="0" wrapText="false" indent="0" shrinkToFit="true"/>
      <protection locked="true" hidden="false"/>
    </xf>
    <xf numFmtId="167" fontId="0" fillId="0" borderId="38" xfId="0" applyFont="false" applyBorder="true" applyAlignment="false" applyProtection="false">
      <alignment horizontal="general" vertical="bottom" textRotation="0" wrapText="false" indent="0" shrinkToFit="false"/>
      <protection locked="true" hidden="false"/>
    </xf>
    <xf numFmtId="164" fontId="0" fillId="5" borderId="39" xfId="0" applyFont="false" applyBorder="true" applyAlignment="true" applyProtection="true">
      <alignment horizontal="general" vertical="bottom" textRotation="0" wrapText="false" indent="0" shrinkToFit="true"/>
      <protection locked="false" hidden="false"/>
    </xf>
    <xf numFmtId="178" fontId="0" fillId="4" borderId="38" xfId="15" applyFont="true" applyBorder="true" applyAlignment="true" applyProtection="true">
      <alignment horizontal="general" vertical="bottom" textRotation="0" wrapText="false" indent="0" shrinkToFit="false"/>
      <protection locked="false" hidden="false"/>
    </xf>
    <xf numFmtId="164" fontId="18" fillId="8" borderId="10" xfId="0" applyFont="true" applyBorder="true" applyAlignment="true" applyProtection="false">
      <alignment horizontal="left" vertical="center" textRotation="0" wrapText="true" indent="0" shrinkToFit="false"/>
      <protection locked="true" hidden="false"/>
    </xf>
    <xf numFmtId="168" fontId="18" fillId="8" borderId="3" xfId="0" applyFont="true" applyBorder="true" applyAlignment="true" applyProtection="false">
      <alignment horizontal="center" vertical="center" textRotation="0" wrapText="false" indent="0" shrinkToFit="false"/>
      <protection locked="true" hidden="false"/>
    </xf>
    <xf numFmtId="178" fontId="18" fillId="8" borderId="3" xfId="15" applyFont="true" applyBorder="true" applyAlignment="true" applyProtection="true">
      <alignment horizontal="center" vertical="center" textRotation="0" wrapText="false" indent="0" shrinkToFit="false"/>
      <protection locked="true" hidden="false"/>
    </xf>
    <xf numFmtId="178" fontId="18" fillId="8" borderId="2" xfId="15" applyFont="true" applyBorder="true" applyAlignment="true" applyProtection="true">
      <alignment horizontal="center" vertical="center" textRotation="0" wrapText="false" indent="0" shrinkToFit="true"/>
      <protection locked="true" hidden="false"/>
    </xf>
    <xf numFmtId="178" fontId="18" fillId="8" borderId="13" xfId="15" applyFont="true" applyBorder="true" applyAlignment="true" applyProtection="true">
      <alignment horizontal="center" vertical="center" textRotation="0" wrapText="false" indent="0" shrinkToFit="false"/>
      <protection locked="true" hidden="false"/>
    </xf>
    <xf numFmtId="178" fontId="18" fillId="8" borderId="13" xfId="15" applyFont="true" applyBorder="true" applyAlignment="true" applyProtection="true">
      <alignment horizontal="center" vertical="center" textRotation="0" wrapText="false" indent="0" shrinkToFit="true"/>
      <protection locked="true" hidden="false"/>
    </xf>
    <xf numFmtId="164" fontId="0" fillId="8" borderId="40" xfId="0" applyFont="false" applyBorder="true" applyAlignment="false" applyProtection="false">
      <alignment horizontal="general" vertical="bottom" textRotation="0" wrapText="false" indent="0" shrinkToFit="false"/>
      <protection locked="true" hidden="false"/>
    </xf>
    <xf numFmtId="164" fontId="0" fillId="8" borderId="32" xfId="0" applyFont="false" applyBorder="true" applyAlignment="false" applyProtection="false">
      <alignment horizontal="general" vertical="bottom" textRotation="0" wrapText="false" indent="0" shrinkToFit="false"/>
      <protection locked="true" hidden="false"/>
    </xf>
    <xf numFmtId="164" fontId="0" fillId="8" borderId="72" xfId="0" applyFont="false" applyBorder="true" applyAlignment="false" applyProtection="false">
      <alignment horizontal="general" vertical="bottom" textRotation="0" wrapText="false" indent="0" shrinkToFit="false"/>
      <protection locked="true" hidden="false"/>
    </xf>
    <xf numFmtId="164" fontId="0" fillId="8" borderId="89" xfId="0" applyFont="false" applyBorder="true" applyAlignment="false" applyProtection="false">
      <alignment horizontal="general" vertical="bottom" textRotation="0" wrapText="false" indent="0" shrinkToFit="false"/>
      <protection locked="true" hidden="false"/>
    </xf>
    <xf numFmtId="178" fontId="18" fillId="2" borderId="13" xfId="15" applyFont="true" applyBorder="true" applyAlignment="true" applyProtection="true">
      <alignment horizontal="center" vertical="center" textRotation="0" wrapText="false" indent="0" shrinkToFit="true"/>
      <protection locked="true" hidden="false"/>
    </xf>
    <xf numFmtId="164" fontId="0" fillId="2" borderId="48" xfId="0" applyFont="false" applyBorder="true" applyAlignment="false" applyProtection="false">
      <alignment horizontal="general" vertical="bottom" textRotation="0" wrapText="false" indent="0" shrinkToFit="false"/>
      <protection locked="true" hidden="false"/>
    </xf>
    <xf numFmtId="164" fontId="0" fillId="2" borderId="47" xfId="0" applyFont="false" applyBorder="true" applyAlignment="false" applyProtection="false">
      <alignment horizontal="general" vertical="bottom" textRotation="0" wrapText="false" indent="0" shrinkToFit="false"/>
      <protection locked="true" hidden="false"/>
    </xf>
    <xf numFmtId="164" fontId="0" fillId="2" borderId="49" xfId="0" applyFont="false" applyBorder="true" applyAlignment="false" applyProtection="false">
      <alignment horizontal="general" vertical="bottom" textRotation="0" wrapText="false" indent="0" shrinkToFit="false"/>
      <protection locked="true" hidden="false"/>
    </xf>
    <xf numFmtId="164" fontId="32" fillId="0" borderId="30" xfId="0" applyFont="true" applyBorder="true" applyAlignment="true" applyProtection="false">
      <alignment horizontal="left" vertical="center" textRotation="0" wrapText="false" indent="0" shrinkToFit="false"/>
      <protection locked="true" hidden="false"/>
    </xf>
    <xf numFmtId="164" fontId="0" fillId="0" borderId="30" xfId="0" applyFont="true" applyBorder="true" applyAlignment="true" applyProtection="false">
      <alignment horizontal="left" vertical="bottom" textRotation="0" wrapText="false" indent="0" shrinkToFit="false"/>
      <protection locked="true" hidden="false"/>
    </xf>
    <xf numFmtId="164" fontId="0" fillId="4" borderId="13" xfId="0" applyFont="false" applyBorder="true" applyAlignment="true" applyProtection="true">
      <alignment horizontal="left" vertical="top" textRotation="0" wrapText="false" indent="0" shrinkToFit="false"/>
      <protection locked="false" hidden="false"/>
    </xf>
    <xf numFmtId="164" fontId="0" fillId="0" borderId="0" xfId="0" applyFont="false" applyBorder="true" applyAlignment="true" applyProtection="false">
      <alignment horizontal="left" vertical="bottom" textRotation="0" wrapText="true" indent="0" shrinkToFit="false"/>
      <protection locked="true" hidden="false"/>
    </xf>
    <xf numFmtId="164" fontId="0" fillId="0" borderId="0" xfId="0" applyFont="false" applyBorder="true" applyAlignment="true" applyProtection="false">
      <alignment horizontal="left" vertical="bottom" textRotation="0" wrapText="false" indent="0" shrinkToFit="false"/>
      <protection locked="true" hidden="false"/>
    </xf>
    <xf numFmtId="164" fontId="24" fillId="0" borderId="3" xfId="22" applyFont="true" applyBorder="true" applyAlignment="false" applyProtection="false">
      <alignment horizontal="general" vertical="bottom" textRotation="0" wrapText="false" indent="0" shrinkToFit="false"/>
      <protection locked="true" hidden="false"/>
    </xf>
    <xf numFmtId="164" fontId="21" fillId="0" borderId="3" xfId="22" applyFont="true" applyBorder="true" applyAlignment="true" applyProtection="false">
      <alignment horizontal="center" vertical="center" textRotation="0" wrapText="false" indent="0" shrinkToFit="false"/>
      <protection locked="true" hidden="false"/>
    </xf>
    <xf numFmtId="164" fontId="0" fillId="4" borderId="0" xfId="22" applyFont="true" applyBorder="true" applyAlignment="true" applyProtection="true">
      <alignment horizontal="left" vertical="top" textRotation="0" wrapText="false" indent="0" shrinkToFit="false"/>
      <protection locked="false" hidden="false"/>
    </xf>
    <xf numFmtId="164" fontId="20" fillId="0" borderId="0" xfId="0" applyFont="true" applyBorder="false" applyAlignment="true" applyProtection="false">
      <alignment horizontal="left" vertical="center" textRotation="0" wrapText="false" indent="15" shrinkToFit="false"/>
      <protection locked="true" hidden="false"/>
    </xf>
    <xf numFmtId="164" fontId="67" fillId="0" borderId="13" xfId="0" applyFont="true" applyBorder="true" applyAlignment="true" applyProtection="false">
      <alignment horizontal="center" vertical="bottom" textRotation="0" wrapText="true" indent="0" shrinkToFit="false"/>
      <protection locked="true" hidden="false"/>
    </xf>
    <xf numFmtId="164" fontId="0" fillId="0" borderId="11" xfId="0" applyFont="true" applyBorder="true" applyAlignment="true" applyProtection="false">
      <alignment horizontal="center" vertical="bottom" textRotation="0" wrapText="true" indent="0" shrinkToFit="false"/>
      <protection locked="true" hidden="false"/>
    </xf>
    <xf numFmtId="164" fontId="0" fillId="0" borderId="12" xfId="0" applyFont="true" applyBorder="true" applyAlignment="true" applyProtection="false">
      <alignment horizontal="center" vertical="bottom" textRotation="0" wrapText="true" indent="0" shrinkToFit="false"/>
      <protection locked="true" hidden="false"/>
    </xf>
    <xf numFmtId="164" fontId="18" fillId="0" borderId="8" xfId="0" applyFont="true" applyBorder="true" applyAlignment="true" applyProtection="false">
      <alignment horizontal="right" vertical="center" textRotation="0" wrapText="true" indent="0" shrinkToFit="false"/>
      <protection locked="true" hidden="false"/>
    </xf>
    <xf numFmtId="189" fontId="18" fillId="0" borderId="8" xfId="17" applyFont="true" applyBorder="true" applyAlignment="true" applyProtection="true">
      <alignment horizontal="right" vertical="center" textRotation="0" wrapText="false" indent="0" shrinkToFit="true"/>
      <protection locked="true" hidden="false"/>
    </xf>
    <xf numFmtId="164" fontId="18" fillId="0" borderId="1" xfId="25" applyFont="tru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true" applyProtection="false">
      <alignment horizontal="general" vertical="bottom" textRotation="0" wrapText="false" indent="0" shrinkToFit="true"/>
      <protection locked="true" hidden="false"/>
    </xf>
    <xf numFmtId="164" fontId="0" fillId="0" borderId="30" xfId="22" applyFont="true" applyBorder="true" applyAlignment="true" applyProtection="false">
      <alignment horizontal="general" vertical="top" textRotation="0" wrapText="true" indent="0" shrinkToFit="false"/>
      <protection locked="true" hidden="false"/>
    </xf>
    <xf numFmtId="169" fontId="18" fillId="0" borderId="30" xfId="0" applyFont="true" applyBorder="true" applyAlignment="true" applyProtection="false">
      <alignment horizontal="left" vertical="bottom" textRotation="0" wrapText="false" indent="0" shrinkToFit="false"/>
      <protection locked="true" hidden="false"/>
    </xf>
    <xf numFmtId="168" fontId="0" fillId="0" borderId="13" xfId="0" applyFont="false" applyBorder="true" applyAlignment="true" applyProtection="false">
      <alignment horizontal="left" vertical="bottom" textRotation="0" wrapText="false" indent="0" shrinkToFit="false"/>
      <protection locked="true" hidden="false"/>
    </xf>
    <xf numFmtId="169" fontId="0" fillId="0" borderId="13" xfId="22" applyFont="true" applyBorder="true" applyAlignment="true" applyProtection="false">
      <alignment horizontal="left" vertical="top" textRotation="0" wrapText="true" indent="0" shrinkToFit="false"/>
      <protection locked="true" hidden="false"/>
    </xf>
    <xf numFmtId="169" fontId="0" fillId="0" borderId="10" xfId="22" applyFont="true" applyBorder="true" applyAlignment="true" applyProtection="false">
      <alignment horizontal="left" vertical="top" textRotation="0" wrapText="true" indent="0" shrinkToFit="false"/>
      <protection locked="true" hidden="false"/>
    </xf>
    <xf numFmtId="164" fontId="18" fillId="4" borderId="2" xfId="0" applyFont="true" applyBorder="true" applyAlignment="true" applyProtection="true">
      <alignment horizontal="center" vertical="center" textRotation="0" wrapText="true" indent="0" shrinkToFit="false"/>
      <protection locked="false" hidden="false"/>
    </xf>
    <xf numFmtId="164" fontId="30" fillId="0" borderId="0" xfId="0" applyFont="true" applyBorder="false" applyAlignment="true" applyProtection="false">
      <alignment horizontal="general" vertical="bottom" textRotation="0" wrapText="true" indent="0" shrinkToFit="false"/>
      <protection locked="true" hidden="false"/>
    </xf>
    <xf numFmtId="164" fontId="63" fillId="0" borderId="8" xfId="0" applyFont="true" applyBorder="true" applyAlignment="true" applyProtection="false">
      <alignment horizontal="center" vertical="center" textRotation="0" wrapText="true" indent="0" shrinkToFit="false"/>
      <protection locked="true" hidden="false"/>
    </xf>
    <xf numFmtId="164" fontId="47" fillId="0" borderId="4" xfId="0" applyFont="true" applyBorder="true" applyAlignment="true" applyProtection="false">
      <alignment horizontal="center" vertical="bottom" textRotation="0" wrapText="false" indent="0" shrinkToFit="false"/>
      <protection locked="true" hidden="false"/>
    </xf>
    <xf numFmtId="164" fontId="63" fillId="0" borderId="0" xfId="0" applyFont="true" applyBorder="false" applyAlignment="true" applyProtection="false">
      <alignment horizontal="center" vertical="center" textRotation="0" wrapText="true" indent="0" shrinkToFit="false"/>
      <protection locked="true" hidden="false"/>
    </xf>
    <xf numFmtId="177" fontId="18" fillId="0" borderId="10" xfId="0" applyFont="true" applyBorder="true" applyAlignment="true" applyProtection="false">
      <alignment horizontal="center" vertical="bottom" textRotation="0" wrapText="false" indent="0" shrinkToFit="false"/>
      <protection locked="true" hidden="false"/>
    </xf>
    <xf numFmtId="170" fontId="18" fillId="0" borderId="2" xfId="0" applyFont="true" applyBorder="true" applyAlignment="true" applyProtection="false">
      <alignment horizontal="center" vertical="bottom" textRotation="0" wrapText="false" indent="0" shrinkToFit="true"/>
      <protection locked="true" hidden="false"/>
    </xf>
    <xf numFmtId="187" fontId="0" fillId="0" borderId="3" xfId="0" applyFont="false" applyBorder="true" applyAlignment="true" applyProtection="false">
      <alignment horizontal="center" vertical="center" textRotation="0" wrapText="false" indent="0" shrinkToFit="false"/>
      <protection locked="true" hidden="false"/>
    </xf>
    <xf numFmtId="164" fontId="18" fillId="0" borderId="8" xfId="0" applyFont="true" applyBorder="true" applyAlignment="true" applyProtection="false">
      <alignment horizontal="center" vertical="bottom" textRotation="0" wrapText="false" indent="0" shrinkToFit="false"/>
      <protection locked="true" hidden="false"/>
    </xf>
    <xf numFmtId="164" fontId="18" fillId="0" borderId="72" xfId="0" applyFont="tru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true" applyProtection="false">
      <alignment horizontal="general" vertical="bottom" textRotation="0" wrapText="true" indent="0" shrinkToFit="false"/>
      <protection locked="true" hidden="false"/>
    </xf>
    <xf numFmtId="164" fontId="0" fillId="0" borderId="31" xfId="0" applyFont="true" applyBorder="true" applyAlignment="true" applyProtection="false">
      <alignment horizontal="center" vertical="bottom" textRotation="0" wrapText="false" indent="0" shrinkToFit="false"/>
      <protection locked="true" hidden="false"/>
    </xf>
    <xf numFmtId="164" fontId="18" fillId="0" borderId="72" xfId="0" applyFont="true" applyBorder="true" applyAlignment="true" applyProtection="false">
      <alignment horizontal="center" vertical="bottom" textRotation="0" wrapText="false" indent="0" shrinkToFit="false"/>
      <protection locked="true" hidden="false"/>
    </xf>
    <xf numFmtId="164" fontId="0" fillId="0" borderId="38" xfId="0" applyFont="false" applyBorder="true" applyAlignment="true" applyProtection="false">
      <alignment horizontal="left" vertical="top" textRotation="0" wrapText="false" indent="0" shrinkToFit="false"/>
      <protection locked="true" hidden="false"/>
    </xf>
    <xf numFmtId="168" fontId="0" fillId="0" borderId="38" xfId="0" applyFont="false" applyBorder="true" applyAlignment="true" applyProtection="false">
      <alignment horizontal="center" vertical="center" textRotation="0" wrapText="true" indent="0" shrinkToFit="false"/>
      <protection locked="true" hidden="false"/>
    </xf>
    <xf numFmtId="164" fontId="0" fillId="0" borderId="39" xfId="0" applyFont="false" applyBorder="true" applyAlignment="true" applyProtection="false">
      <alignment horizontal="center" vertical="center" textRotation="0" wrapText="false" indent="0" shrinkToFit="false"/>
      <protection locked="true" hidden="false"/>
    </xf>
    <xf numFmtId="164" fontId="0" fillId="0" borderId="60" xfId="0" applyFont="false" applyBorder="true" applyAlignment="true" applyProtection="false">
      <alignment horizontal="center" vertical="center" textRotation="0" wrapText="false" indent="0" shrinkToFit="false"/>
      <protection locked="true" hidden="false"/>
    </xf>
    <xf numFmtId="170" fontId="0" fillId="0" borderId="80" xfId="0" applyFont="false" applyBorder="true" applyAlignment="true" applyProtection="false">
      <alignment horizontal="center" vertical="center" textRotation="0" wrapText="false" indent="0" shrinkToFit="false"/>
      <protection locked="true" hidden="false"/>
    </xf>
    <xf numFmtId="187" fontId="0" fillId="0" borderId="0" xfId="0" applyFont="false" applyBorder="false" applyAlignment="true" applyProtection="false">
      <alignment horizontal="center" vertical="center" textRotation="0" wrapText="false" indent="0" shrinkToFit="false"/>
      <protection locked="true" hidden="false"/>
    </xf>
    <xf numFmtId="168" fontId="0" fillId="4" borderId="87" xfId="0" applyFont="false" applyBorder="true" applyAlignment="true" applyProtection="true">
      <alignment horizontal="center" vertical="center" textRotation="0" wrapText="false" indent="0" shrinkToFit="false"/>
      <protection locked="false" hidden="false"/>
    </xf>
    <xf numFmtId="187" fontId="0" fillId="4" borderId="87" xfId="0" applyFont="false" applyBorder="true" applyAlignment="true" applyProtection="true">
      <alignment horizontal="center" vertical="center" textRotation="0" wrapText="false" indent="0" shrinkToFit="false"/>
      <protection locked="false" hidden="false"/>
    </xf>
    <xf numFmtId="187" fontId="0" fillId="4" borderId="42" xfId="0" applyFont="false" applyBorder="true" applyAlignment="true" applyProtection="true">
      <alignment horizontal="center" vertical="center" textRotation="0" wrapText="false" indent="0" shrinkToFit="false"/>
      <protection locked="false" hidden="false"/>
    </xf>
    <xf numFmtId="164" fontId="0" fillId="0" borderId="9" xfId="0" applyFont="true" applyBorder="true" applyAlignment="true" applyProtection="false">
      <alignment horizontal="center" vertical="center" textRotation="0" wrapText="true" indent="0" shrinkToFit="false"/>
      <protection locked="true" hidden="false"/>
    </xf>
    <xf numFmtId="164" fontId="0" fillId="2" borderId="90" xfId="0" applyFont="true" applyBorder="true" applyAlignment="true" applyProtection="false">
      <alignment horizontal="center" vertical="center" textRotation="0" wrapText="false" indent="0" shrinkToFit="false"/>
      <protection locked="true" hidden="false"/>
    </xf>
    <xf numFmtId="191" fontId="5" fillId="2" borderId="90" xfId="0" applyFont="true" applyBorder="true" applyAlignment="true" applyProtection="false">
      <alignment horizontal="center" vertical="bottom" textRotation="0" wrapText="false" indent="0" shrinkToFit="false"/>
      <protection locked="true" hidden="false"/>
    </xf>
    <xf numFmtId="191" fontId="5" fillId="2" borderId="77" xfId="0" applyFont="true" applyBorder="true" applyAlignment="true" applyProtection="false">
      <alignment horizontal="center" vertical="bottom" textRotation="0" wrapText="false" indent="0" shrinkToFit="false"/>
      <protection locked="true" hidden="false"/>
    </xf>
    <xf numFmtId="191" fontId="5" fillId="2" borderId="91" xfId="0" applyFont="true" applyBorder="true" applyAlignment="true" applyProtection="false">
      <alignment horizontal="center" vertical="bottom" textRotation="0" wrapText="false" indent="0" shrinkToFit="false"/>
      <protection locked="true" hidden="false"/>
    </xf>
    <xf numFmtId="191" fontId="5" fillId="2" borderId="78" xfId="0" applyFont="true" applyBorder="true" applyAlignment="true" applyProtection="false">
      <alignment horizontal="center" vertical="bottom" textRotation="0" wrapText="false" indent="0" shrinkToFit="false"/>
      <protection locked="true" hidden="false"/>
    </xf>
    <xf numFmtId="170" fontId="18" fillId="2" borderId="8" xfId="0" applyFont="true" applyBorder="true" applyAlignment="true" applyProtection="false">
      <alignment horizontal="center" vertical="center" textRotation="0" wrapText="false" indent="0" shrinkToFit="false"/>
      <protection locked="true" hidden="false"/>
    </xf>
    <xf numFmtId="164" fontId="0" fillId="0" borderId="40" xfId="0" applyFont="false" applyBorder="true" applyAlignment="true" applyProtection="false">
      <alignment horizontal="center" vertical="center" textRotation="0" wrapText="false" indent="0" shrinkToFit="false"/>
      <protection locked="true" hidden="false"/>
    </xf>
    <xf numFmtId="164" fontId="0" fillId="11" borderId="9" xfId="0" applyFont="false" applyBorder="true" applyAlignment="false" applyProtection="false">
      <alignment horizontal="general" vertical="bottom" textRotation="0" wrapText="false" indent="0" shrinkToFit="false"/>
      <protection locked="true" hidden="false"/>
    </xf>
    <xf numFmtId="164" fontId="0" fillId="11" borderId="0" xfId="0" applyFont="true" applyBorder="false" applyAlignment="true" applyProtection="false">
      <alignment horizontal="center" vertical="bottom" textRotation="0" wrapText="false" indent="0" shrinkToFit="false"/>
      <protection locked="true" hidden="false"/>
    </xf>
    <xf numFmtId="164" fontId="0" fillId="11" borderId="1" xfId="0" applyFont="true" applyBorder="true" applyAlignment="true" applyProtection="false">
      <alignment horizontal="center" vertical="bottom" textRotation="0" wrapText="false" indent="0" shrinkToFit="false"/>
      <protection locked="true" hidden="false"/>
    </xf>
    <xf numFmtId="164" fontId="47" fillId="0" borderId="0" xfId="0" applyFont="true" applyBorder="false" applyAlignment="false" applyProtection="false">
      <alignment horizontal="general" vertical="bottom" textRotation="0" wrapText="false" indent="0" shrinkToFit="false"/>
      <protection locked="true" hidden="false"/>
    </xf>
    <xf numFmtId="164" fontId="0" fillId="2" borderId="40" xfId="0" applyFont="true" applyBorder="true" applyAlignment="true" applyProtection="false">
      <alignment horizontal="center" vertical="center" textRotation="0" wrapText="false" indent="0" shrinkToFit="false"/>
      <protection locked="true" hidden="false"/>
    </xf>
    <xf numFmtId="187" fontId="0" fillId="2" borderId="40" xfId="0" applyFont="false" applyBorder="true" applyAlignment="true" applyProtection="false">
      <alignment horizontal="center" vertical="center" textRotation="0" wrapText="false" indent="0" shrinkToFit="false"/>
      <protection locked="true" hidden="false"/>
    </xf>
    <xf numFmtId="187" fontId="0" fillId="2" borderId="36" xfId="0" applyFont="false" applyBorder="true" applyAlignment="true" applyProtection="false">
      <alignment horizontal="center" vertical="center" textRotation="0" wrapText="false" indent="0" shrinkToFit="false"/>
      <protection locked="true" hidden="false"/>
    </xf>
    <xf numFmtId="187" fontId="0" fillId="2" borderId="60" xfId="0" applyFont="false" applyBorder="true" applyAlignment="true" applyProtection="false">
      <alignment horizontal="center" vertical="center" textRotation="0" wrapText="false" indent="0" shrinkToFit="false"/>
      <protection locked="true" hidden="false"/>
    </xf>
    <xf numFmtId="187" fontId="0" fillId="2" borderId="80" xfId="0" applyFont="false" applyBorder="true" applyAlignment="true" applyProtection="false">
      <alignment horizontal="center" vertical="center" textRotation="0" wrapText="false" indent="0" shrinkToFit="false"/>
      <protection locked="true" hidden="false"/>
    </xf>
    <xf numFmtId="164" fontId="0" fillId="11" borderId="90" xfId="0" applyFont="true" applyBorder="true" applyAlignment="true" applyProtection="false">
      <alignment horizontal="right" vertical="bottom" textRotation="0" wrapText="false" indent="0" shrinkToFit="false"/>
      <protection locked="true" hidden="false"/>
    </xf>
    <xf numFmtId="169" fontId="0" fillId="4" borderId="51" xfId="0" applyFont="false" applyBorder="true" applyAlignment="false" applyProtection="true">
      <alignment horizontal="general" vertical="bottom" textRotation="0" wrapText="false" indent="0" shrinkToFit="false"/>
      <protection locked="false" hidden="false"/>
    </xf>
    <xf numFmtId="169" fontId="0" fillId="4" borderId="92" xfId="0" applyFont="false" applyBorder="true" applyAlignment="false" applyProtection="true">
      <alignment horizontal="general" vertical="bottom" textRotation="0" wrapText="false" indent="0" shrinkToFit="false"/>
      <protection locked="false" hidden="false"/>
    </xf>
    <xf numFmtId="187" fontId="68" fillId="0" borderId="38" xfId="0" applyFont="true" applyBorder="true" applyAlignment="false" applyProtection="false">
      <alignment horizontal="general" vertical="bottom" textRotation="0" wrapText="false" indent="0" shrinkToFit="false"/>
      <protection locked="true" hidden="false"/>
    </xf>
    <xf numFmtId="164" fontId="0" fillId="0" borderId="93" xfId="0" applyFont="true" applyBorder="true" applyAlignment="true" applyProtection="false">
      <alignment horizontal="center" vertical="center" textRotation="0" wrapText="false" indent="0" shrinkToFit="false"/>
      <protection locked="true" hidden="false"/>
    </xf>
    <xf numFmtId="187" fontId="0" fillId="0" borderId="86" xfId="0" applyFont="false" applyBorder="true" applyAlignment="true" applyProtection="false">
      <alignment horizontal="center" vertical="center" textRotation="0" wrapText="false" indent="0" shrinkToFit="false"/>
      <protection locked="true" hidden="false"/>
    </xf>
    <xf numFmtId="187" fontId="0" fillId="0" borderId="68" xfId="0" applyFont="false" applyBorder="true" applyAlignment="true" applyProtection="false">
      <alignment horizontal="center" vertical="center" textRotation="0" wrapText="false" indent="0" shrinkToFit="false"/>
      <protection locked="true" hidden="false"/>
    </xf>
    <xf numFmtId="187" fontId="0" fillId="0" borderId="69" xfId="0" applyFont="false" applyBorder="true" applyAlignment="true" applyProtection="false">
      <alignment horizontal="center" vertical="center" textRotation="0" wrapText="false" indent="0" shrinkToFit="false"/>
      <protection locked="true" hidden="false"/>
    </xf>
    <xf numFmtId="187" fontId="0" fillId="0" borderId="70" xfId="0" applyFont="false" applyBorder="true" applyAlignment="true" applyProtection="false">
      <alignment horizontal="center" vertical="center" textRotation="0" wrapText="false" indent="0" shrinkToFit="false"/>
      <protection locked="true" hidden="false"/>
    </xf>
    <xf numFmtId="164" fontId="0" fillId="11" borderId="93" xfId="0" applyFont="true" applyBorder="true" applyAlignment="true" applyProtection="false">
      <alignment horizontal="right" vertical="bottom" textRotation="0" wrapText="false" indent="0" shrinkToFit="false"/>
      <protection locked="true" hidden="false"/>
    </xf>
    <xf numFmtId="169" fontId="0" fillId="4" borderId="44" xfId="0" applyFont="false" applyBorder="true" applyAlignment="false" applyProtection="true">
      <alignment horizontal="general" vertical="bottom" textRotation="0" wrapText="false" indent="0" shrinkToFit="false"/>
      <protection locked="false" hidden="false"/>
    </xf>
    <xf numFmtId="169" fontId="0" fillId="4" borderId="45" xfId="0" applyFont="false" applyBorder="true" applyAlignment="false" applyProtection="true">
      <alignment horizontal="general" vertical="bottom" textRotation="0" wrapText="false" indent="0" shrinkToFit="false"/>
      <protection locked="false" hidden="false"/>
    </xf>
    <xf numFmtId="164" fontId="21" fillId="2" borderId="8" xfId="0" applyFont="true" applyBorder="true" applyAlignment="true" applyProtection="false">
      <alignment horizontal="center" vertical="center" textRotation="0" wrapText="false" indent="0" shrinkToFit="false"/>
      <protection locked="true" hidden="false"/>
    </xf>
    <xf numFmtId="187" fontId="21" fillId="2" borderId="8" xfId="0" applyFont="true" applyBorder="true" applyAlignment="true" applyProtection="false">
      <alignment horizontal="center" vertical="center" textRotation="0" wrapText="false" indent="0" shrinkToFit="false"/>
      <protection locked="true" hidden="false"/>
    </xf>
    <xf numFmtId="187" fontId="21" fillId="2" borderId="11" xfId="0" applyFont="true" applyBorder="true" applyAlignment="true" applyProtection="false">
      <alignment horizontal="center" vertical="center" textRotation="0" wrapText="false" indent="0" shrinkToFit="false"/>
      <protection locked="true" hidden="false"/>
    </xf>
    <xf numFmtId="187" fontId="21" fillId="2" borderId="43" xfId="0" applyFont="true" applyBorder="true" applyAlignment="true" applyProtection="false">
      <alignment horizontal="center" vertical="center" textRotation="0" wrapText="false" indent="0" shrinkToFit="false"/>
      <protection locked="true" hidden="false"/>
    </xf>
    <xf numFmtId="187" fontId="21" fillId="2" borderId="12" xfId="0" applyFont="true" applyBorder="true" applyAlignment="true" applyProtection="false">
      <alignment horizontal="center" vertical="center" textRotation="0" wrapText="false" indent="0" shrinkToFit="false"/>
      <protection locked="true" hidden="false"/>
    </xf>
    <xf numFmtId="164" fontId="5" fillId="0" borderId="5" xfId="0" applyFont="true" applyBorder="true" applyAlignment="true" applyProtection="false">
      <alignment horizontal="right" vertical="bottom" textRotation="0" wrapText="false" indent="0" shrinkToFit="false"/>
      <protection locked="true" hidden="false"/>
    </xf>
    <xf numFmtId="187" fontId="0" fillId="0" borderId="0" xfId="0" applyFont="false" applyBorder="false" applyAlignment="false" applyProtection="false">
      <alignment horizontal="general" vertical="bottom" textRotation="0" wrapText="false" indent="0" shrinkToFit="false"/>
      <protection locked="true" hidden="false"/>
    </xf>
    <xf numFmtId="164" fontId="21" fillId="0" borderId="0" xfId="22" applyFont="true" applyBorder="false" applyAlignment="true" applyProtection="false">
      <alignment horizontal="general" vertical="center" textRotation="0" wrapText="false" indent="0" shrinkToFit="false"/>
      <protection locked="true" hidden="false"/>
    </xf>
    <xf numFmtId="164" fontId="30" fillId="0" borderId="0" xfId="0" applyFont="true" applyBorder="false" applyAlignment="true" applyProtection="false">
      <alignment horizontal="right" vertical="bottom" textRotation="0" wrapText="false" indent="0" shrinkToFit="false"/>
      <protection locked="true" hidden="false"/>
    </xf>
    <xf numFmtId="164" fontId="0" fillId="0" borderId="0" xfId="22" applyFont="true" applyBorder="false" applyAlignment="true" applyProtection="false">
      <alignment horizontal="left" vertical="center" textRotation="0" wrapText="false" indent="0" shrinkToFit="false"/>
      <protection locked="true" hidden="false"/>
    </xf>
    <xf numFmtId="164" fontId="0" fillId="0" borderId="0" xfId="22" applyFont="true" applyBorder="true" applyAlignment="true" applyProtection="false">
      <alignment horizontal="center" vertical="bottom" textRotation="0" wrapText="false" indent="0" shrinkToFit="false"/>
      <protection locked="true" hidden="false"/>
    </xf>
    <xf numFmtId="164" fontId="0" fillId="0" borderId="5" xfId="0" applyFont="false" applyBorder="true" applyAlignment="true" applyProtection="false">
      <alignment horizontal="right" vertical="bottom" textRotation="0" wrapText="false" indent="0" shrinkToFit="false"/>
      <protection locked="true" hidden="false"/>
    </xf>
    <xf numFmtId="197" fontId="0" fillId="0" borderId="0" xfId="22" applyFont="true" applyBorder="false" applyAlignment="true" applyProtection="false">
      <alignment horizontal="left" vertical="bottom" textRotation="0" wrapText="false" indent="0" shrinkToFit="false"/>
      <protection locked="true" hidden="false"/>
    </xf>
    <xf numFmtId="168" fontId="0" fillId="4" borderId="0" xfId="22" applyFont="true" applyBorder="true" applyAlignment="true" applyProtection="true">
      <alignment horizontal="left" vertical="bottom" textRotation="0" wrapText="false" indent="0" shrinkToFit="false"/>
      <protection locked="false" hidden="false"/>
    </xf>
    <xf numFmtId="197" fontId="0" fillId="0" borderId="0" xfId="22" applyFont="true" applyBorder="true" applyAlignment="true" applyProtection="false">
      <alignment horizontal="right" vertical="bottom" textRotation="0" wrapText="false" indent="0" shrinkToFit="false"/>
      <protection locked="true" hidden="false"/>
    </xf>
    <xf numFmtId="178" fontId="0" fillId="0" borderId="0" xfId="15" applyFont="true" applyBorder="true" applyAlignment="true" applyProtection="true">
      <alignment horizontal="general" vertical="bottom" textRotation="0" wrapText="false" indent="0" shrinkToFit="false"/>
      <protection locked="true" hidden="false"/>
    </xf>
    <xf numFmtId="164" fontId="0" fillId="0" borderId="0" xfId="22" applyFont="true" applyBorder="false" applyAlignment="true" applyProtection="false">
      <alignment horizontal="left" vertical="bottom" textRotation="0" wrapText="false" indent="0" shrinkToFit="false"/>
      <protection locked="true" hidden="false"/>
    </xf>
    <xf numFmtId="164" fontId="0" fillId="0" borderId="0" xfId="22" applyFont="true" applyBorder="true" applyAlignment="true" applyProtection="false">
      <alignment horizontal="left" vertical="bottom" textRotation="0" wrapText="false" indent="0" shrinkToFit="false"/>
      <protection locked="true" hidden="false"/>
    </xf>
    <xf numFmtId="164" fontId="0" fillId="4" borderId="0" xfId="22" applyFont="true" applyBorder="false" applyAlignment="true" applyProtection="true">
      <alignment horizontal="general" vertical="top" textRotation="0" wrapText="false" indent="0" shrinkToFit="false"/>
      <protection locked="false" hidden="false"/>
    </xf>
    <xf numFmtId="164" fontId="0" fillId="0" borderId="0" xfId="22" applyFont="true" applyBorder="true" applyAlignment="true" applyProtection="false">
      <alignment horizontal="left" vertical="top" textRotation="0" wrapText="true" indent="0" shrinkToFit="true"/>
      <protection locked="true" hidden="false"/>
    </xf>
    <xf numFmtId="164" fontId="0" fillId="0" borderId="0" xfId="22" applyFont="true" applyBorder="true" applyAlignment="true" applyProtection="false">
      <alignment horizontal="left" vertical="top" textRotation="0" wrapText="true" indent="0" shrinkToFit="false"/>
      <protection locked="true" hidden="false"/>
    </xf>
    <xf numFmtId="164" fontId="0" fillId="0" borderId="0" xfId="22" applyFont="true" applyBorder="true" applyAlignment="true" applyProtection="false">
      <alignment horizontal="left" vertical="bottom" textRotation="0" wrapText="true" indent="0" shrinkToFit="false"/>
      <protection locked="true" hidden="false"/>
    </xf>
    <xf numFmtId="164" fontId="0" fillId="0" borderId="0" xfId="22" applyFont="true" applyBorder="true" applyAlignment="true" applyProtection="false">
      <alignment horizontal="general" vertical="center" textRotation="0" wrapText="false" indent="0" shrinkToFit="false"/>
      <protection locked="true" hidden="false"/>
    </xf>
    <xf numFmtId="164" fontId="0" fillId="0" borderId="51" xfId="22" applyFont="true" applyBorder="true" applyAlignment="true" applyProtection="false">
      <alignment horizontal="center" vertical="bottom" textRotation="0" wrapText="false" indent="0" shrinkToFit="false"/>
      <protection locked="true" hidden="false"/>
    </xf>
    <xf numFmtId="164" fontId="0" fillId="0" borderId="52" xfId="22" applyFont="true" applyBorder="true" applyAlignment="true" applyProtection="false">
      <alignment horizontal="center" vertical="center" textRotation="0" wrapText="true" indent="0" shrinkToFit="false"/>
      <protection locked="true" hidden="false"/>
    </xf>
    <xf numFmtId="164" fontId="0" fillId="0" borderId="92" xfId="22" applyFont="true" applyBorder="true" applyAlignment="true" applyProtection="false">
      <alignment horizontal="center" vertical="center" textRotation="0" wrapText="true" indent="0" shrinkToFit="false"/>
      <protection locked="true" hidden="false"/>
    </xf>
    <xf numFmtId="164" fontId="0" fillId="0" borderId="37" xfId="22" applyFont="true" applyBorder="true" applyAlignment="true" applyProtection="false">
      <alignment horizontal="right" vertical="bottom" textRotation="0" wrapText="false" indent="0" shrinkToFit="false"/>
      <protection locked="true" hidden="false"/>
    </xf>
    <xf numFmtId="190" fontId="18" fillId="0" borderId="38" xfId="15" applyFont="true" applyBorder="true" applyAlignment="true" applyProtection="true">
      <alignment horizontal="general" vertical="top" textRotation="0" wrapText="false" indent="0" shrinkToFit="true"/>
      <protection locked="true" hidden="false"/>
    </xf>
    <xf numFmtId="190" fontId="18" fillId="0" borderId="39" xfId="15" applyFont="true" applyBorder="true" applyAlignment="true" applyProtection="true">
      <alignment horizontal="general" vertical="top" textRotation="0" wrapText="false" indent="0" shrinkToFit="true"/>
      <protection locked="true" hidden="false"/>
    </xf>
    <xf numFmtId="164" fontId="0" fillId="0" borderId="44" xfId="22" applyFont="true" applyBorder="true" applyAlignment="true" applyProtection="false">
      <alignment horizontal="right" vertical="bottom" textRotation="0" wrapText="false" indent="0" shrinkToFit="false"/>
      <protection locked="true" hidden="false"/>
    </xf>
    <xf numFmtId="190" fontId="18" fillId="0" borderId="46" xfId="15" applyFont="true" applyBorder="true" applyAlignment="true" applyProtection="true">
      <alignment horizontal="right" vertical="top" textRotation="0" wrapText="false" indent="0" shrinkToFit="true"/>
      <protection locked="true" hidden="false"/>
    </xf>
    <xf numFmtId="170" fontId="18" fillId="0" borderId="46" xfId="19" applyFont="true" applyBorder="true" applyAlignment="true" applyProtection="true">
      <alignment horizontal="right" vertical="top" textRotation="0" wrapText="false" indent="0" shrinkToFit="true"/>
      <protection locked="true" hidden="false"/>
    </xf>
    <xf numFmtId="170" fontId="18" fillId="0" borderId="45" xfId="19" applyFont="true" applyBorder="true" applyAlignment="true" applyProtection="true">
      <alignment horizontal="right" vertical="top" textRotation="0" wrapText="false" indent="0" shrinkToFit="true"/>
      <protection locked="true" hidden="false"/>
    </xf>
    <xf numFmtId="164" fontId="0" fillId="4" borderId="0" xfId="22" applyFont="true" applyBorder="true" applyAlignment="true" applyProtection="true">
      <alignment horizontal="left" vertical="top" textRotation="0" wrapText="true" indent="0" shrinkToFit="false"/>
      <protection locked="false" hidden="false"/>
    </xf>
    <xf numFmtId="164" fontId="0" fillId="4" borderId="0" xfId="22" applyFont="true" applyBorder="false" applyAlignment="true" applyProtection="true">
      <alignment horizontal="general" vertical="top" textRotation="0" wrapText="true" indent="0" shrinkToFit="false"/>
      <protection locked="false" hidden="false"/>
    </xf>
    <xf numFmtId="164" fontId="0" fillId="0" borderId="3" xfId="22" applyFont="true" applyBorder="true" applyAlignment="false" applyProtection="false">
      <alignment horizontal="general" vertical="bottom" textRotation="0" wrapText="false" indent="0" shrinkToFit="false"/>
      <protection locked="true" hidden="false"/>
    </xf>
    <xf numFmtId="164" fontId="0" fillId="0" borderId="0" xfId="22" applyFont="true" applyBorder="true" applyAlignment="true" applyProtection="false">
      <alignment horizontal="left" vertical="top" textRotation="0" wrapText="false" indent="0" shrinkToFit="false"/>
      <protection locked="true" hidden="false"/>
    </xf>
    <xf numFmtId="164" fontId="4" fillId="0" borderId="0" xfId="24" applyFont="true" applyBorder="false" applyAlignment="false" applyProtection="false">
      <alignment horizontal="general" vertical="bottom" textRotation="0" wrapText="false" indent="0" shrinkToFit="false"/>
      <protection locked="true" hidden="false"/>
    </xf>
    <xf numFmtId="168" fontId="4" fillId="0" borderId="0" xfId="24" applyFont="true" applyBorder="false" applyAlignment="false" applyProtection="false">
      <alignment horizontal="general" vertical="bottom" textRotation="0" wrapText="false" indent="0" shrinkToFit="false"/>
      <protection locked="true" hidden="false"/>
    </xf>
    <xf numFmtId="164" fontId="70" fillId="16" borderId="0" xfId="24" applyFont="true" applyBorder="false" applyAlignment="true" applyProtection="false">
      <alignment horizontal="center" vertical="bottom" textRotation="0" wrapText="false" indent="0" shrinkToFit="false"/>
      <protection locked="true" hidden="false"/>
    </xf>
    <xf numFmtId="168" fontId="70" fillId="16" borderId="0" xfId="24" applyFont="true" applyBorder="false" applyAlignment="true" applyProtection="false">
      <alignment horizontal="center" vertical="bottom" textRotation="0" wrapText="false" indent="0" shrinkToFit="false"/>
      <protection locked="true" hidden="false"/>
    </xf>
    <xf numFmtId="168" fontId="0" fillId="0" borderId="8" xfId="24" applyFont="true" applyBorder="true" applyAlignment="true" applyProtection="false">
      <alignment horizontal="center" vertical="center" textRotation="0" wrapText="true" indent="0" shrinkToFit="false"/>
      <protection locked="true" hidden="false"/>
    </xf>
    <xf numFmtId="169" fontId="0" fillId="17" borderId="8" xfId="24" applyFont="true" applyBorder="true" applyAlignment="true" applyProtection="false">
      <alignment horizontal="center" vertical="center" textRotation="0" wrapText="false" indent="0" shrinkToFit="false"/>
      <protection locked="true" hidden="false"/>
    </xf>
    <xf numFmtId="198" fontId="0" fillId="0" borderId="8" xfId="24" applyFont="true" applyBorder="true" applyAlignment="true" applyProtection="false">
      <alignment horizontal="center" vertical="center" textRotation="0" wrapText="false" indent="0" shrinkToFit="false"/>
      <protection locked="true" hidden="false"/>
    </xf>
    <xf numFmtId="199" fontId="0" fillId="0" borderId="8" xfId="24" applyFont="true" applyBorder="true" applyAlignment="true" applyProtection="false">
      <alignment horizontal="center" vertical="center" textRotation="0" wrapText="false" indent="0" shrinkToFit="false"/>
      <protection locked="true" hidden="false"/>
    </xf>
    <xf numFmtId="198" fontId="0" fillId="17" borderId="8" xfId="24" applyFont="true" applyBorder="true" applyAlignment="true" applyProtection="false">
      <alignment horizontal="center" vertical="center" textRotation="0" wrapText="false" indent="0" shrinkToFit="false"/>
      <protection locked="true" hidden="false"/>
    </xf>
    <xf numFmtId="198" fontId="0" fillId="17" borderId="8" xfId="24" applyFont="true" applyBorder="true" applyAlignment="true" applyProtection="false">
      <alignment horizontal="center" vertical="center" textRotation="0" wrapText="true" indent="0" shrinkToFit="false"/>
      <protection locked="true" hidden="false"/>
    </xf>
    <xf numFmtId="173" fontId="0" fillId="0" borderId="8" xfId="24" applyFont="true" applyBorder="true" applyAlignment="true" applyProtection="false">
      <alignment horizontal="center" vertical="center" textRotation="0" wrapText="true" indent="0" shrinkToFit="false"/>
      <protection locked="true" hidden="false"/>
    </xf>
    <xf numFmtId="169" fontId="0" fillId="0" borderId="8" xfId="24" applyFont="true" applyBorder="true" applyAlignment="true" applyProtection="false">
      <alignment horizontal="center" vertical="center" textRotation="0" wrapText="false" indent="0" shrinkToFit="false"/>
      <protection locked="true" hidden="false"/>
    </xf>
    <xf numFmtId="164" fontId="0" fillId="0" borderId="8" xfId="24" applyFont="true" applyBorder="true" applyAlignment="true" applyProtection="false">
      <alignment horizontal="center" vertical="center" textRotation="0" wrapText="true" indent="0" shrinkToFit="false"/>
      <protection locked="true" hidden="false"/>
    </xf>
    <xf numFmtId="170" fontId="0" fillId="0" borderId="8" xfId="19" applyFont="true" applyBorder="true" applyAlignment="true" applyProtection="true">
      <alignment horizontal="center" vertical="center" textRotation="0" wrapText="false" indent="0" shrinkToFit="false"/>
      <protection locked="true" hidden="false"/>
    </xf>
    <xf numFmtId="164" fontId="0" fillId="0" borderId="31" xfId="24" applyFont="true" applyBorder="true" applyAlignment="true" applyProtection="false">
      <alignment horizontal="center" vertical="center" textRotation="0" wrapText="true" indent="0" shrinkToFit="false"/>
      <protection locked="true" hidden="false"/>
    </xf>
  </cellXfs>
  <cellStyles count="15">
    <cellStyle name="Normal" xfId="0" builtinId="0"/>
    <cellStyle name="Comma" xfId="15" builtinId="3"/>
    <cellStyle name="Comma [0]" xfId="16" builtinId="6"/>
    <cellStyle name="Currency" xfId="17" builtinId="4"/>
    <cellStyle name="Currency [0]" xfId="18" builtinId="7"/>
    <cellStyle name="Percent" xfId="19" builtinId="5"/>
    <cellStyle name="Moeda_Composicao BDI v2.1" xfId="21"/>
    <cellStyle name="Normal 2" xfId="22"/>
    <cellStyle name="Normal 3" xfId="23"/>
    <cellStyle name="Normal 4" xfId="24"/>
    <cellStyle name="Normal_FICHA DE VERIFICAÇÃO PRELIMINAR - Plano R" xfId="25"/>
    <cellStyle name="Porcentagem 2" xfId="26"/>
    <cellStyle name="Título 5" xfId="27"/>
    <cellStyle name="Vírgula 2" xfId="28"/>
    <cellStyle name="*unknown*" xfId="20" builtinId="8"/>
  </cellStyles>
  <dxfs count="556">
    <dxf>
      <font>
        <color rgb="FFC0C0C0"/>
      </font>
      <fill>
        <patternFill>
          <bgColor rgb="FFC0C0C0"/>
        </patternFill>
      </fill>
      <border diagonalUp="false" diagonalDown="false">
        <left/>
        <right/>
        <top/>
        <bottom/>
        <diagonal/>
      </border>
    </dxf>
    <dxf>
      <font>
        <color rgb="FFC0C0C0"/>
      </font>
      <fill>
        <patternFill>
          <bgColor rgb="FFC0C0C0"/>
        </patternFill>
      </fill>
      <border diagonalUp="false" diagonalDown="false">
        <left/>
        <right/>
        <top/>
        <bottom/>
        <diagonal/>
      </border>
    </dxf>
    <dxf>
      <font>
        <color rgb="FFC0C0C0"/>
      </font>
      <fill>
        <patternFill>
          <bgColor rgb="FFC0C0C0"/>
        </patternFill>
      </fill>
      <border diagonalUp="false" diagonalDown="false">
        <left/>
        <right/>
        <top/>
        <bottom/>
        <diagonal/>
      </border>
    </dxf>
    <dxf>
      <font>
        <color rgb="FFC0C0C0"/>
      </font>
      <fill>
        <patternFill>
          <bgColor rgb="FFC0C0C0"/>
        </patternFill>
      </fill>
      <border diagonalUp="false" diagonalDown="false">
        <left/>
        <right/>
        <top/>
        <bottom/>
        <diagonal/>
      </border>
    </dxf>
    <dxf>
      <font>
        <b val="0"/>
        <color rgb="FFFF0000"/>
      </font>
    </dxf>
    <dxf>
      <font>
        <b val="0"/>
        <color rgb="FFFF0000"/>
      </font>
    </dxf>
    <dxf>
      <font>
        <b val="0"/>
        <color rgb="FFFFFFFF"/>
      </font>
      <fill>
        <patternFill/>
      </fill>
    </dxf>
    <dxf>
      <font>
        <b val="0"/>
        <color rgb="FFFFFFFF"/>
      </font>
      <fill>
        <patternFill/>
      </fill>
      <border diagonalUp="false" diagonalDown="false">
        <left/>
        <right/>
        <top/>
        <bottom/>
        <diagonal/>
      </border>
    </dxf>
    <dxf>
      <fill>
        <patternFill patternType="solid">
          <bgColor rgb="FF000000"/>
        </patternFill>
      </fill>
    </dxf>
    <dxf>
      <font>
        <color rgb="FFFF0000"/>
      </font>
    </dxf>
    <dxf>
      <font>
        <color rgb="FFFF0000"/>
      </font>
    </dxf>
    <dxf>
      <font>
        <color rgb="FFFF0000"/>
      </font>
    </dxf>
    <dxf>
      <font>
        <color rgb="FFFFFFFF"/>
      </font>
      <fill>
        <patternFill>
          <bgColor theme="0"/>
        </patternFill>
      </fill>
    </dxf>
    <dxf>
      <font>
        <color rgb="FFFFFFFF"/>
      </font>
      <fill>
        <patternFill>
          <bgColor theme="0"/>
        </patternFill>
      </fill>
    </dxf>
    <dxf>
      <font>
        <color rgb="FFFFFFFF"/>
      </font>
      <fill>
        <patternFill>
          <bgColor theme="0"/>
        </patternFill>
      </fill>
    </dxf>
    <dxf>
      <font>
        <color rgb="FFFFFFFF"/>
      </font>
      <fill>
        <patternFill>
          <bgColor theme="0"/>
        </patternFill>
      </fill>
    </dxf>
    <dxf>
      <font>
        <color rgb="FFFFFFFF"/>
      </font>
      <fill>
        <patternFill>
          <bgColor theme="0"/>
        </patternFill>
      </fill>
    </dxf>
    <dxf>
      <font>
        <color rgb="FFFFFFFF"/>
      </font>
      <fill>
        <patternFill>
          <bgColor theme="0"/>
        </patternFill>
      </fill>
    </dxf>
    <dxf>
      <font>
        <b val="1"/>
        <i val="0"/>
        <color rgb="FFFFFFFF"/>
      </font>
      <fill>
        <patternFill/>
      </fill>
      <border diagonalUp="false" diagonalDown="false">
        <left/>
        <right/>
        <top style="thin"/>
        <bottom/>
        <diagonal/>
      </border>
    </dxf>
    <dxf>
      <font>
        <b val="0"/>
        <color rgb="FFFF0000"/>
      </font>
      <border diagonalUp="false" diagonalDown="false">
        <left style="thin"/>
        <right style="thin"/>
        <top style="thin"/>
        <bottom style="thin"/>
        <diagonal/>
      </border>
    </dxf>
    <dxf>
      <font>
        <b val="0"/>
        <color rgb="FF008000"/>
      </font>
      <border diagonalUp="false" diagonalDown="false">
        <left style="thin"/>
        <right style="thin"/>
        <top style="thin"/>
        <bottom style="thin"/>
        <diagonal/>
      </border>
    </dxf>
    <dxf>
      <font>
        <b val="1"/>
        <i val="0"/>
      </font>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0070C0"/>
      </font>
    </dxf>
    <dxf>
      <font>
        <b val="1"/>
        <i val="0"/>
      </font>
      <fill>
        <patternFill>
          <bgColor rgb="FF969696"/>
        </patternFill>
      </fill>
      <border diagonalUp="false" diagonalDown="false">
        <left/>
        <right/>
        <top style="thin"/>
        <bottom/>
        <diagonal/>
      </border>
    </dxf>
    <dxf>
      <font>
        <b val="1"/>
        <i val="0"/>
      </font>
      <fill>
        <patternFill>
          <bgColor rgb="FFC0C0C0"/>
        </patternFill>
      </fill>
    </dxf>
    <dxf>
      <border diagonalUp="false" diagonalDown="false">
        <left/>
        <right/>
        <top style="thin"/>
        <bottom/>
        <diagonal/>
      </border>
    </dxf>
    <dxf>
      <font>
        <b val="1"/>
        <i val="0"/>
        <color rgb="FFFFFFFF"/>
      </font>
      <fill>
        <patternFill>
          <bgColor rgb="FFFF00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border diagonalUp="false" diagonalDown="false">
        <left/>
        <right/>
        <top/>
        <bottom/>
        <diagonal/>
      </border>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border diagonalUp="false" diagonalDown="false">
        <left/>
        <right/>
        <top/>
        <bottom/>
        <diagonal/>
      </border>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0"/>
        <color rgb="FFFFFFFF"/>
      </font>
      <fill>
        <patternFill/>
      </fill>
      <border diagonalUp="false" diagonalDown="false">
        <left/>
        <right/>
        <top/>
        <bottom/>
        <diagonal/>
      </border>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FF0000"/>
      </font>
    </dxf>
    <dxf>
      <border diagonalUp="false" diagonalDown="false">
        <left style="thin"/>
        <right style="thin"/>
        <top/>
        <bottom/>
        <diagonal/>
      </border>
    </dxf>
    <dxf>
      <fill>
        <patternFill patternType="solid">
          <fgColor rgb="FFFFFFFF"/>
          <bgColor rgb="FF000000"/>
        </patternFill>
      </fill>
    </dxf>
    <dxf>
      <font>
        <color rgb="FFFFFFFF"/>
      </font>
      <fill>
        <patternFill>
          <bgColor theme="0"/>
        </patternFill>
      </fill>
      <border diagonalUp="false" diagonalDown="false">
        <left/>
        <right/>
        <top/>
        <bottom/>
        <diagonal/>
      </border>
    </dxf>
    <dxf>
      <font>
        <color rgb="FFFFFFFF"/>
      </font>
      <fill>
        <patternFill/>
      </fill>
      <border diagonalUp="false" diagonalDown="false">
        <left/>
        <right/>
        <top/>
        <bottom/>
        <diagonal/>
      </border>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b val="1"/>
        <i val="0"/>
      </font>
      <fill>
        <patternFill>
          <bgColor rgb="FF969696"/>
        </patternFill>
      </fill>
      <border diagonalUp="false" diagonalDown="false">
        <left/>
        <right/>
        <top style="thin"/>
        <bottom/>
        <diagonal/>
      </border>
    </dxf>
    <dxf>
      <fill>
        <patternFill>
          <bgColor rgb="FFC0C0C0"/>
        </patternFill>
      </fill>
    </dxf>
    <dxf>
      <font>
        <color rgb="FFFF0000"/>
      </font>
    </dxf>
    <dxf>
      <font>
        <color rgb="FFFF0000"/>
      </font>
    </dxf>
    <dxf>
      <font>
        <color rgb="FFFF0000"/>
      </font>
    </dxf>
    <dxf>
      <font>
        <color rgb="FFFF0000"/>
      </font>
    </dxf>
    <dxf>
      <font>
        <b val="0"/>
        <color rgb="FFFFFFFF"/>
      </font>
      <fill>
        <patternFill/>
      </fill>
      <border diagonalUp="false" diagonalDown="false">
        <left/>
        <right/>
        <top/>
        <bottom/>
        <diagonal/>
      </border>
    </dxf>
    <dxf>
      <font>
        <b val="0"/>
        <color rgb="FFC0C0C0"/>
      </font>
      <fill>
        <patternFill>
          <bgColor rgb="FFC0C0C0"/>
        </patternFill>
      </fill>
    </dxf>
    <dxf>
      <font>
        <b val="0"/>
        <color rgb="FF969696"/>
      </font>
      <fill>
        <patternFill>
          <bgColor rgb="FF969696"/>
        </patternFill>
      </fill>
      <border diagonalUp="false" diagonalDown="false">
        <left/>
        <right/>
        <top style="thin"/>
        <bottom/>
        <diagonal/>
      </border>
    </dxf>
    <dxf>
      <font>
        <b val="1"/>
        <i val="0"/>
      </font>
      <fill>
        <patternFill>
          <bgColor rgb="FF969696"/>
        </patternFill>
      </fill>
      <border diagonalUp="false" diagonalDown="false">
        <left/>
        <right/>
        <top style="thin"/>
        <bottom/>
        <diagonal/>
      </border>
    </dxf>
    <dxf>
      <fill>
        <patternFill>
          <bgColor rgb="FFC0C0C0"/>
        </patternFill>
      </fill>
    </dxf>
    <dxf>
      <font>
        <b val="0"/>
        <color rgb="FFFFFFFF"/>
      </font>
      <fill>
        <patternFill/>
      </fill>
      <border diagonalUp="false" diagonalDown="false">
        <left/>
        <right/>
        <top/>
        <bottom/>
        <diagonal/>
      </border>
    </dxf>
    <dxf>
      <font>
        <b val="0"/>
        <color rgb="FFC0C0C0"/>
      </font>
      <fill>
        <patternFill>
          <bgColor rgb="FFC0C0C0"/>
        </patternFill>
      </fill>
    </dxf>
    <dxf>
      <font>
        <b val="0"/>
        <color rgb="FF969696"/>
      </font>
      <fill>
        <patternFill>
          <bgColor rgb="FF969696"/>
        </patternFill>
      </fill>
      <border diagonalUp="false" diagonalDown="false">
        <left/>
        <right/>
        <top style="thin"/>
        <bottom/>
        <diagonal/>
      </border>
    </dxf>
    <dxf>
      <font>
        <b val="0"/>
        <color rgb="FFFFFFFF"/>
      </font>
      <fill>
        <patternFill/>
      </fill>
      <border diagonalUp="false" diagonalDown="false">
        <left/>
        <right/>
        <top/>
        <bottom/>
        <diagonal/>
      </border>
    </dxf>
    <dxf>
      <font>
        <b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color rgb="FFFF0000"/>
      </font>
    </dxf>
    <dxf>
      <font>
        <b val="0"/>
        <color rgb="FFC0C0C0"/>
      </font>
      <fill>
        <patternFill>
          <bgColor rgb="FFC0C0C0"/>
        </patternFill>
      </fill>
    </dxf>
    <dxf>
      <font>
        <b val="0"/>
        <color rgb="FFC0C0C0"/>
      </font>
      <fill>
        <patternFill>
          <bgColor rgb="FFC0C0C0"/>
        </patternFill>
      </fill>
    </dxf>
    <dxf>
      <font>
        <b val="0"/>
        <color rgb="FFC0C0C0"/>
      </font>
      <fill>
        <patternFill>
          <bgColor rgb="FFC0C0C0"/>
        </patternFill>
      </fill>
    </dxf>
    <dxf>
      <font>
        <b val="0"/>
        <color rgb="FFC0C0C0"/>
      </font>
      <fill>
        <patternFill>
          <bgColor rgb="FFC0C0C0"/>
        </patternFill>
      </fill>
    </dxf>
    <dxf>
      <font>
        <b val="0"/>
        <color rgb="FFC0C0C0"/>
      </font>
      <fill>
        <patternFill>
          <bgColor rgb="FFC0C0C0"/>
        </patternFill>
      </fill>
    </dxf>
    <dxf>
      <font>
        <b val="0"/>
        <color rgb="FFC0C0C0"/>
      </font>
      <fill>
        <patternFill>
          <bgColor rgb="FFC0C0C0"/>
        </patternFill>
      </fill>
    </dxf>
    <dxf>
      <font>
        <b val="1"/>
        <i val="0"/>
        <color rgb="FFFF0000"/>
      </font>
    </dxf>
    <dxf>
      <font>
        <color rgb="FFD9D9D9"/>
      </font>
    </dxf>
    <dxf>
      <font>
        <color rgb="FFFFFFFF"/>
      </font>
      <fill>
        <patternFill>
          <bgColor theme="0"/>
        </patternFill>
      </fill>
      <border diagonalUp="false" diagonalDown="false">
        <left/>
        <right/>
        <top/>
        <bottom/>
        <diagonal/>
      </border>
    </dxf>
    <dxf>
      <font>
        <color rgb="FFFFFFFF"/>
      </font>
      <fill>
        <patternFill>
          <bgColor theme="0"/>
        </patternFill>
      </fill>
      <border diagonalUp="false" diagonalDown="false">
        <left/>
        <right/>
        <top/>
        <bottom/>
        <diagonal/>
      </border>
    </dxf>
    <dxf>
      <font>
        <color rgb="FFFFFFFF"/>
      </font>
    </dxf>
    <dxf>
      <font>
        <color rgb="FFD9D9D9"/>
      </font>
    </dxf>
    <dxf>
      <font>
        <color rgb="FFFFFFFF"/>
      </font>
    </dxf>
    <dxf>
      <font>
        <color rgb="FFD9D9D9"/>
      </font>
    </dxf>
    <dxf>
      <font>
        <color rgb="FFBFBFBF"/>
      </font>
    </dxf>
    <dxf>
      <font>
        <color rgb="FFFFFFFF"/>
      </font>
      <border diagonalUp="false" diagonalDown="false">
        <left/>
        <right/>
        <top/>
        <bottom/>
        <diagonal/>
      </border>
    </dxf>
    <dxf>
      <font>
        <b val="0"/>
        <color rgb="FFC0C0C0"/>
      </font>
      <fill>
        <patternFill>
          <bgColor rgb="FFC0C0C0"/>
        </patternFill>
      </fill>
    </dxf>
    <dxf>
      <fill>
        <patternFill patternType="solid">
          <fgColor rgb="FF000000"/>
          <bgColor rgb="FF000000"/>
        </patternFill>
      </fill>
    </dxf>
    <dxf>
      <font>
        <color rgb="FFFF0000"/>
      </font>
      <fill>
        <patternFill>
          <bgColor rgb="FFFFFF99"/>
        </patternFill>
      </fill>
    </dxf>
    <dxf>
      <font>
        <b val="0"/>
        <color rgb="FF000000"/>
      </font>
      <fill>
        <patternFill>
          <bgColor rgb="FF9999FF"/>
        </patternFill>
      </fill>
    </dxf>
    <dxf>
      <font>
        <color rgb="FFFF0000"/>
      </font>
      <fill>
        <patternFill>
          <bgColor rgb="FFFFFF99"/>
        </patternFill>
      </fill>
    </dxf>
    <dxf>
      <font>
        <b val="0"/>
        <color rgb="FF000000"/>
      </font>
      <fill>
        <patternFill>
          <bgColor rgb="FF9999FF"/>
        </patternFill>
      </fill>
    </dxf>
    <dxf>
      <font>
        <b val="1"/>
        <i val="0"/>
        <color rgb="00FFFFFF"/>
      </font>
      <fill>
        <patternFill>
          <bgColor rgb="FFFF0000"/>
        </patternFill>
      </fill>
    </dxf>
    <dxf>
      <font>
        <b val="1"/>
        <i val="0"/>
      </font>
      <fill>
        <patternFill>
          <bgColor rgb="FFFF0000"/>
        </patternFill>
      </fill>
    </dxf>
    <dxf>
      <font>
        <b val="0"/>
        <color rgb="FF000000"/>
      </font>
      <fill>
        <patternFill>
          <bgColor rgb="FFFFFF99"/>
        </patternFill>
      </fill>
    </dxf>
    <dxf>
      <fill>
        <patternFill>
          <bgColor rgb="FFC0C0C0"/>
        </patternFill>
      </fill>
    </dxf>
    <dxf>
      <fill>
        <patternFill>
          <bgColor rgb="FF969696"/>
        </patternFill>
      </fill>
    </dxf>
    <dxf>
      <fill>
        <patternFill>
          <bgColor rgb="FFC0C0C0"/>
        </patternFill>
      </fill>
    </dxf>
    <dxf>
      <font>
        <b val="1"/>
        <i val="0"/>
      </font>
      <fill>
        <patternFill>
          <bgColor rgb="FF969696"/>
        </patternFill>
      </fill>
      <border diagonalUp="false" diagonalDown="false">
        <left/>
        <right/>
        <top style="thin"/>
        <bottom/>
        <diagonal/>
      </border>
    </dxf>
    <dxf>
      <font>
        <color rgb="FFFF0000"/>
      </font>
      <fill>
        <patternFill>
          <bgColor rgb="FFFFFF99"/>
        </patternFill>
      </fill>
    </dxf>
    <dxf>
      <font>
        <b val="0"/>
        <color rgb="FF000000"/>
      </font>
      <fill>
        <patternFill>
          <bgColor rgb="FF9999FF"/>
        </patternFill>
      </fill>
    </dxf>
    <dxf>
      <font>
        <color rgb="FFFF0000"/>
      </font>
      <fill>
        <patternFill>
          <bgColor rgb="FFFFFF99"/>
        </patternFill>
      </fill>
    </dxf>
    <dxf>
      <font>
        <b val="0"/>
        <color rgb="FF000000"/>
      </font>
      <fill>
        <patternFill>
          <bgColor rgb="FF9999FF"/>
        </patternFill>
      </fill>
    </dxf>
    <dxf>
      <font>
        <b val="1"/>
        <i val="0"/>
        <color rgb="00FFFFFF"/>
      </font>
      <fill>
        <patternFill>
          <bgColor rgb="FFFF0000"/>
        </patternFill>
      </fill>
    </dxf>
    <dxf>
      <font>
        <b val="1"/>
        <i val="0"/>
      </font>
      <fill>
        <patternFill>
          <bgColor rgb="FFFF0000"/>
        </patternFill>
      </fill>
    </dxf>
    <dxf>
      <font>
        <b val="0"/>
        <color rgb="FF000000"/>
      </font>
      <fill>
        <patternFill>
          <bgColor rgb="FFFFFF99"/>
        </patternFill>
      </fill>
    </dxf>
    <dxf>
      <fill>
        <patternFill>
          <bgColor rgb="FFC0C0C0"/>
        </patternFill>
      </fill>
    </dxf>
    <dxf>
      <fill>
        <patternFill>
          <bgColor rgb="FF969696"/>
        </patternFill>
      </fill>
    </dxf>
    <dxf>
      <fill>
        <patternFill>
          <bgColor rgb="FFC0C0C0"/>
        </patternFill>
      </fill>
    </dxf>
    <dxf>
      <font>
        <b val="1"/>
        <i val="0"/>
      </font>
      <fill>
        <patternFill>
          <bgColor rgb="FF969696"/>
        </patternFill>
      </fill>
      <border diagonalUp="false" diagonalDown="false">
        <left/>
        <right/>
        <top style="thin"/>
        <bottom/>
        <diagonal/>
      </border>
    </dxf>
    <dxf>
      <font>
        <color rgb="FFFF0000"/>
      </font>
      <fill>
        <patternFill>
          <bgColor rgb="FFFFFF99"/>
        </patternFill>
      </fill>
    </dxf>
    <dxf>
      <font>
        <b val="0"/>
        <color rgb="FF000000"/>
      </font>
      <fill>
        <patternFill>
          <bgColor rgb="FF9999FF"/>
        </patternFill>
      </fill>
    </dxf>
    <dxf>
      <font>
        <color rgb="FFFF0000"/>
      </font>
      <fill>
        <patternFill>
          <bgColor rgb="FFFFFF99"/>
        </patternFill>
      </fill>
    </dxf>
    <dxf>
      <font>
        <b val="0"/>
        <color rgb="FF000000"/>
      </font>
      <fill>
        <patternFill>
          <bgColor rgb="FF9999FF"/>
        </patternFill>
      </fill>
    </dxf>
    <dxf>
      <font>
        <b val="1"/>
        <i val="0"/>
        <color rgb="00FFFFFF"/>
      </font>
      <fill>
        <patternFill>
          <bgColor rgb="FFFF0000"/>
        </patternFill>
      </fill>
    </dxf>
    <dxf>
      <font>
        <b val="1"/>
        <i val="0"/>
      </font>
      <fill>
        <patternFill>
          <bgColor rgb="FFFF0000"/>
        </patternFill>
      </fill>
    </dxf>
    <dxf>
      <font>
        <b val="0"/>
        <color rgb="FF000000"/>
      </font>
      <fill>
        <patternFill>
          <bgColor rgb="FFFFFF99"/>
        </patternFill>
      </fill>
    </dxf>
    <dxf>
      <fill>
        <patternFill>
          <bgColor rgb="FFC0C0C0"/>
        </patternFill>
      </fill>
    </dxf>
    <dxf>
      <fill>
        <patternFill>
          <bgColor rgb="FF969696"/>
        </patternFill>
      </fill>
    </dxf>
    <dxf>
      <fill>
        <patternFill>
          <bgColor rgb="FFC0C0C0"/>
        </patternFill>
      </fill>
    </dxf>
    <dxf>
      <font>
        <b val="1"/>
        <i val="0"/>
      </font>
      <fill>
        <patternFill>
          <bgColor rgb="FF969696"/>
        </patternFill>
      </fill>
      <border diagonalUp="false" diagonalDown="false">
        <left/>
        <right/>
        <top style="thin"/>
        <bottom/>
        <diagonal/>
      </border>
    </dxf>
    <dxf>
      <font>
        <color rgb="FFFF0000"/>
      </font>
      <fill>
        <patternFill>
          <bgColor rgb="FFFFFF99"/>
        </patternFill>
      </fill>
    </dxf>
    <dxf>
      <font>
        <b val="0"/>
        <color rgb="FF000000"/>
      </font>
      <fill>
        <patternFill>
          <bgColor rgb="FF9999FF"/>
        </patternFill>
      </fill>
    </dxf>
    <dxf>
      <font>
        <color rgb="FFFF0000"/>
      </font>
      <fill>
        <patternFill>
          <bgColor rgb="FFFFFF99"/>
        </patternFill>
      </fill>
    </dxf>
    <dxf>
      <font>
        <b val="0"/>
        <color rgb="FF000000"/>
      </font>
      <fill>
        <patternFill>
          <bgColor rgb="FF9999FF"/>
        </patternFill>
      </fill>
    </dxf>
    <dxf>
      <font>
        <b val="1"/>
        <i val="0"/>
        <color rgb="00FFFFFF"/>
      </font>
      <fill>
        <patternFill>
          <bgColor rgb="FFFF0000"/>
        </patternFill>
      </fill>
    </dxf>
    <dxf>
      <font>
        <b val="1"/>
        <i val="0"/>
      </font>
      <fill>
        <patternFill>
          <bgColor rgb="FFFF0000"/>
        </patternFill>
      </fill>
    </dxf>
    <dxf>
      <font>
        <b val="0"/>
        <color rgb="FF000000"/>
      </font>
      <fill>
        <patternFill>
          <bgColor rgb="FFFFFF99"/>
        </patternFill>
      </fill>
    </dxf>
    <dxf>
      <fill>
        <patternFill>
          <bgColor rgb="FFC0C0C0"/>
        </patternFill>
      </fill>
    </dxf>
    <dxf>
      <fill>
        <patternFill>
          <bgColor rgb="FF969696"/>
        </patternFill>
      </fill>
    </dxf>
    <dxf>
      <fill>
        <patternFill>
          <bgColor rgb="FFC0C0C0"/>
        </patternFill>
      </fill>
    </dxf>
    <dxf>
      <font>
        <b val="1"/>
        <i val="0"/>
      </font>
      <fill>
        <patternFill>
          <bgColor rgb="FF969696"/>
        </patternFill>
      </fill>
      <border diagonalUp="false" diagonalDown="false">
        <left/>
        <right/>
        <top style="thin"/>
        <bottom/>
        <diagonal/>
      </border>
    </dxf>
    <dxf>
      <font>
        <color rgb="FFFF0000"/>
      </font>
      <fill>
        <patternFill>
          <bgColor rgb="FFFFFF99"/>
        </patternFill>
      </fill>
    </dxf>
    <dxf>
      <font>
        <b val="0"/>
        <color rgb="FF000000"/>
      </font>
      <fill>
        <patternFill>
          <bgColor rgb="FF9999FF"/>
        </patternFill>
      </fill>
    </dxf>
    <dxf>
      <font>
        <color rgb="FFFF0000"/>
      </font>
      <fill>
        <patternFill>
          <bgColor rgb="FFFFFF99"/>
        </patternFill>
      </fill>
    </dxf>
    <dxf>
      <font>
        <b val="0"/>
        <color rgb="FF000000"/>
      </font>
      <fill>
        <patternFill>
          <bgColor rgb="FF9999FF"/>
        </patternFill>
      </fill>
    </dxf>
    <dxf>
      <font>
        <b val="0"/>
        <color rgb="FFFFFFFF"/>
      </font>
    </dxf>
    <dxf>
      <font>
        <color rgb="FFFFFFFF"/>
      </font>
      <fill>
        <patternFill>
          <bgColor theme="0"/>
        </patternFill>
      </fill>
      <border diagonalUp="false" diagonalDown="false">
        <left/>
        <right/>
        <top/>
        <bottom/>
        <diagonal/>
      </border>
    </dxf>
    <dxf>
      <font>
        <b val="1"/>
        <i val="0"/>
        <color rgb="00FFFFFF"/>
      </font>
      <fill>
        <patternFill>
          <bgColor rgb="FFFF0000"/>
        </patternFill>
      </fill>
    </dxf>
    <dxf>
      <font>
        <b val="1"/>
        <i val="0"/>
        <color rgb="FFFF0000"/>
      </font>
    </dxf>
    <dxf>
      <font>
        <b val="1"/>
        <i val="0"/>
      </font>
      <fill>
        <patternFill>
          <bgColor rgb="FFFF0000"/>
        </patternFill>
      </fill>
    </dxf>
    <dxf>
      <font>
        <color rgb="FFFFFFFF"/>
      </font>
      <border diagonalUp="false" diagonalDown="false">
        <left/>
        <right/>
        <top/>
        <bottom/>
        <diagonal/>
      </border>
    </dxf>
    <dxf>
      <fill>
        <patternFill>
          <bgColor rgb="FFFFFF99"/>
        </patternFill>
      </fill>
    </dxf>
    <dxf>
      <font>
        <b val="0"/>
        <color rgb="FF000000"/>
      </font>
      <fill>
        <patternFill>
          <bgColor rgb="FFFFFF99"/>
        </patternFill>
      </fill>
    </dxf>
    <dxf>
      <fill>
        <patternFill>
          <bgColor rgb="FFC0C0C0"/>
        </patternFill>
      </fill>
    </dxf>
    <dxf>
      <fill>
        <patternFill>
          <bgColor rgb="FF969696"/>
        </patternFill>
      </fill>
    </dxf>
    <dxf>
      <fill>
        <patternFill>
          <bgColor rgb="FFC0C0C0"/>
        </patternFill>
      </fill>
    </dxf>
    <dxf>
      <font>
        <b val="1"/>
        <i val="0"/>
      </font>
      <fill>
        <patternFill>
          <bgColor rgb="FF969696"/>
        </patternFill>
      </fill>
      <border diagonalUp="false" diagonalDown="false">
        <left/>
        <right/>
        <top style="thin"/>
        <bottom/>
        <diagonal/>
      </border>
    </dxf>
    <dxf>
      <font>
        <color rgb="FFC0C0C0"/>
      </font>
    </dxf>
    <dxf>
      <font>
        <b val="0"/>
        <color rgb="FFFFFFFF"/>
      </font>
    </dxf>
    <dxf>
      <font>
        <b val="0"/>
        <color rgb="FFFFFFFF"/>
      </font>
      <border diagonalUp="false" diagonalDown="false">
        <left/>
        <right/>
        <top/>
        <bottom/>
        <diagonal/>
      </border>
    </dxf>
    <dxf>
      <font>
        <b val="0"/>
        <color rgb="FFBFBFBF"/>
      </font>
      <fill>
        <patternFill>
          <bgColor rgb="FFBFBFBF"/>
        </patternFill>
      </fill>
    </dxf>
    <dxf>
      <font>
        <b val="1"/>
        <i val="0"/>
        <color rgb="FFFFFFFF"/>
      </font>
      <fill>
        <patternFill>
          <bgColor rgb="FFFF0000"/>
        </patternFill>
      </fill>
    </dxf>
    <dxf>
      <font>
        <b val="0"/>
        <color rgb="FFBFBFBF"/>
      </font>
      <fill>
        <patternFill>
          <bgColor rgb="FFBFBFBF"/>
        </patternFill>
      </fill>
    </dxf>
    <dxf>
      <font>
        <b val="0"/>
        <color rgb="FFFFFFFF"/>
      </font>
    </dxf>
    <dxf>
      <font>
        <b val="0"/>
        <color rgb="FFBFBFBF"/>
      </font>
      <fill>
        <patternFill>
          <bgColor rgb="FFBFBFBF"/>
        </patternFill>
      </fill>
    </dxf>
    <dxf>
      <font>
        <b val="1"/>
        <i val="0"/>
        <color rgb="FFFFFFFF"/>
      </font>
      <fill>
        <patternFill>
          <bgColor rgb="FFFF0000"/>
        </patternFill>
      </fill>
    </dxf>
    <dxf>
      <font>
        <b val="0"/>
        <color rgb="FFBFBFBF"/>
      </font>
      <fill>
        <patternFill>
          <bgColor rgb="FFBFBFBF"/>
        </patternFill>
      </fill>
    </dxf>
    <dxf>
      <font>
        <b val="0"/>
        <color rgb="FFFFFFFF"/>
      </font>
    </dxf>
    <dxf>
      <font>
        <b val="0"/>
        <color rgb="FFBFBFBF"/>
      </font>
      <fill>
        <patternFill>
          <bgColor rgb="FFBFBFBF"/>
        </patternFill>
      </fill>
    </dxf>
    <dxf>
      <font>
        <b val="1"/>
        <i val="0"/>
        <color rgb="FFFFFFFF"/>
      </font>
      <fill>
        <patternFill>
          <bgColor rgb="FFFF0000"/>
        </patternFill>
      </fill>
    </dxf>
    <dxf>
      <font>
        <b val="0"/>
        <color rgb="FFBFBFBF"/>
      </font>
      <fill>
        <patternFill>
          <bgColor rgb="FFBFBFBF"/>
        </patternFill>
      </fill>
    </dxf>
    <dxf>
      <font>
        <b val="1"/>
        <i val="0"/>
        <color rgb="FFFFFFFF"/>
      </font>
      <fill>
        <patternFill>
          <bgColor rgb="FFFF0000"/>
        </patternFill>
      </fill>
    </dxf>
    <dxf>
      <font>
        <b val="1"/>
        <i val="0"/>
        <color rgb="FFFFFFFF"/>
      </font>
      <fill>
        <patternFill>
          <bgColor rgb="FFFF0000"/>
        </patternFill>
      </fill>
    </dxf>
    <dxf>
      <font>
        <b val="1"/>
        <i val="0"/>
        <color rgb="FFFFFFFF"/>
      </font>
      <fill>
        <patternFill>
          <bgColor rgb="FFFF0000"/>
        </patternFill>
      </fill>
    </dxf>
    <dxf>
      <font>
        <b val="0"/>
        <color rgb="FFFFFFFF"/>
      </font>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b val="0"/>
        <color rgb="FFC0C0C0"/>
      </font>
      <fill>
        <patternFill>
          <bgColor rgb="FFC0C0C0"/>
        </patternFill>
      </fill>
    </dxf>
    <dxf>
      <font>
        <b val="1"/>
        <i val="0"/>
      </font>
      <fill>
        <patternFill>
          <bgColor rgb="FF339966"/>
        </patternFill>
      </fill>
    </dxf>
    <dxf>
      <font>
        <color rgb="FFFF0000"/>
      </font>
    </dxf>
    <dxf>
      <font>
        <b val="1"/>
        <i val="0"/>
        <color rgb="FFFF0000"/>
      </font>
    </dxf>
    <dxf>
      <font>
        <color rgb="FFD9D9D9"/>
      </font>
    </dxf>
    <dxf>
      <font>
        <color rgb="FFFFFFFF"/>
      </font>
    </dxf>
    <dxf>
      <fill>
        <patternFill>
          <bgColor rgb="FFFFC000"/>
        </patternFill>
      </fill>
    </dxf>
    <dxf>
      <font>
        <b val="0"/>
        <color rgb="FFC0C0C0"/>
      </font>
      <fill>
        <patternFill>
          <bgColor rgb="FFC0C0C0"/>
        </patternFill>
      </fill>
    </dxf>
    <dxf>
      <font>
        <b val="1"/>
        <i val="0"/>
      </font>
      <fill>
        <patternFill>
          <bgColor rgb="FF339966"/>
        </patternFill>
      </fill>
    </dxf>
    <dxf>
      <font>
        <b val="1"/>
        <i val="0"/>
      </font>
      <fill>
        <patternFill>
          <bgColor rgb="FF339966"/>
        </patternFill>
      </fill>
    </dxf>
    <dxf>
      <font>
        <b val="1"/>
        <i val="0"/>
      </font>
      <fill>
        <patternFill>
          <bgColor rgb="FF339966"/>
        </patternFill>
      </fill>
    </dxf>
    <dxf>
      <font>
        <b val="1"/>
        <i val="0"/>
      </font>
      <fill>
        <patternFill>
          <bgColor rgb="FF339966"/>
        </patternFill>
      </fill>
    </dxf>
    <dxf>
      <font>
        <b val="1"/>
        <i val="0"/>
      </font>
      <fill>
        <patternFill>
          <bgColor rgb="FF339966"/>
        </patternFill>
      </fill>
    </dxf>
    <dxf>
      <font>
        <b val="0"/>
        <color rgb="FFFFFFFF"/>
      </font>
      <border diagonalUp="false" diagonalDown="false">
        <left/>
        <right style="thin"/>
        <top/>
        <bottom/>
        <diagonal/>
      </border>
    </dxf>
    <dxf>
      <font>
        <b val="0"/>
        <color rgb="FFFFFFFF"/>
      </font>
      <fill>
        <patternFill/>
      </fill>
      <border diagonalUp="false" diagonalDown="false">
        <left/>
        <right/>
        <top/>
        <bottom/>
        <diagonal/>
      </border>
    </dxf>
    <dxf>
      <font>
        <b val="0"/>
        <color rgb="FFFF0000"/>
      </font>
    </dxf>
    <dxf>
      <font>
        <b val="0"/>
        <color rgb="FFFFFFFF"/>
      </font>
      <fill>
        <patternFill/>
      </fill>
      <border diagonalUp="false" diagonalDown="false">
        <left/>
        <right/>
        <top/>
        <bottom/>
        <diagonal/>
      </border>
    </dxf>
    <dxf>
      <font>
        <b val="0"/>
        <color rgb="FFC0C0C0"/>
      </font>
      <fill>
        <patternFill>
          <bgColor rgb="FFC0C0C0"/>
        </patternFill>
      </fill>
    </dxf>
    <dxf>
      <font>
        <b val="1"/>
        <i val="0"/>
      </font>
      <fill>
        <patternFill>
          <bgColor rgb="FF339966"/>
        </patternFill>
      </fill>
    </dxf>
    <dxf>
      <font>
        <b val="1"/>
        <i val="0"/>
      </font>
      <fill>
        <patternFill>
          <bgColor rgb="FF339966"/>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color rgb="FFFF0000"/>
      </font>
    </dxf>
    <dxf>
      <font>
        <b val="1"/>
        <i val="0"/>
      </font>
      <fill>
        <patternFill>
          <bgColor rgb="FFFFCC00"/>
        </patternFill>
      </fill>
    </dxf>
    <dxf>
      <font>
        <b val="1"/>
        <i val="0"/>
      </font>
      <fill>
        <patternFill>
          <bgColor rgb="FF969696"/>
        </patternFill>
      </fill>
      <border diagonalUp="false" diagonalDown="false">
        <left/>
        <right/>
        <top style="thin"/>
        <bottom/>
        <diagonal/>
      </border>
    </dxf>
    <dxf>
      <font>
        <b val="1"/>
        <i val="0"/>
      </font>
      <fill>
        <patternFill>
          <bgColor rgb="FFC0C0C0"/>
        </patternFill>
      </fill>
    </dxf>
    <dxf>
      <font>
        <b val="1"/>
        <i val="0"/>
        <color rgb="FF969696"/>
      </font>
      <fill>
        <patternFill>
          <bgColor rgb="FF969696"/>
        </patternFill>
      </fill>
      <border diagonalUp="false" diagonalDown="false">
        <left/>
        <right/>
        <top style="thin"/>
        <bottom/>
        <diagonal/>
      </border>
    </dxf>
    <dxf>
      <font>
        <b val="0"/>
        <color rgb="FFC0C0C0"/>
      </font>
      <fill>
        <patternFill>
          <bgColor rgb="FFC0C0C0"/>
        </patternFill>
      </fill>
    </dxf>
    <dxf>
      <font>
        <b val="1"/>
        <i val="0"/>
        <color rgb="FFFF0000"/>
      </font>
    </dxf>
    <dxf>
      <font>
        <b val="0"/>
        <color rgb="FFFFFFFF"/>
      </font>
    </dxf>
    <dxf>
      <font>
        <b val="1"/>
        <i val="0"/>
        <color rgb="FFFFFFFF"/>
      </font>
      <fill>
        <patternFill>
          <bgColor rgb="FFFF0000"/>
        </patternFill>
      </fill>
    </dxf>
    <dxf>
      <fill>
        <patternFill>
          <bgColor rgb="FFFFCC00"/>
        </patternFill>
      </fill>
    </dxf>
    <dxf>
      <font>
        <b val="0"/>
        <color rgb="FFBFBFBF"/>
      </font>
      <fill>
        <patternFill>
          <bgColor rgb="FFBFBFBF"/>
        </patternFill>
      </fill>
    </dxf>
    <dxf>
      <font>
        <b val="1"/>
        <i val="0"/>
        <color rgb="FFFFFFFF"/>
      </font>
      <fill>
        <patternFill>
          <bgColor rgb="FFFF0000"/>
        </patternFill>
      </fill>
    </dxf>
    <dxf>
      <font>
        <b val="0"/>
        <color rgb="FFBFBFBF"/>
      </font>
      <fill>
        <patternFill>
          <bgColor rgb="FFBFBFBF"/>
        </patternFill>
      </fill>
    </dxf>
    <dxf>
      <font>
        <b val="1"/>
        <i val="0"/>
        <color rgb="FFFFFFFF"/>
      </font>
      <fill>
        <patternFill>
          <bgColor rgb="FFFF0000"/>
        </patternFill>
      </fill>
    </dxf>
    <dxf>
      <font>
        <b val="0"/>
        <color rgb="FFBFBFBF"/>
      </font>
      <fill>
        <patternFill>
          <bgColor rgb="FFBFBFBF"/>
        </patternFill>
      </fill>
    </dxf>
    <dxf>
      <font>
        <b val="0"/>
        <color rgb="FFFFFFFF"/>
      </font>
      <fill>
        <patternFill/>
      </fill>
    </dxf>
    <dxf>
      <font>
        <b val="1"/>
        <i val="0"/>
        <color rgb="FFFFFFFF"/>
      </font>
      <fill>
        <patternFill>
          <bgColor rgb="FFFF0000"/>
        </patternFill>
      </fill>
    </dxf>
    <dxf>
      <font>
        <b val="1"/>
        <i val="0"/>
        <color rgb="FFFFFFFF"/>
      </font>
      <fill>
        <patternFill>
          <bgColor rgb="FFFF0000"/>
        </patternFill>
      </fill>
    </dxf>
    <dxf>
      <font>
        <b val="1"/>
        <i val="0"/>
        <color rgb="FFFFFFFF"/>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1"/>
        <i val="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1"/>
        <i val="0"/>
      </font>
    </dxf>
    <dxf>
      <fill>
        <patternFill>
          <bgColor rgb="FFFF0000"/>
        </patternFill>
      </fill>
    </dxf>
    <dxf>
      <fill>
        <patternFill>
          <bgColor rgb="FFFF0000"/>
        </patternFill>
      </fill>
    </dxf>
    <dxf>
      <fill>
        <patternFill>
          <bgColor rgb="FFFF0000"/>
        </patternFill>
      </fill>
    </dxf>
    <dxf>
      <fill>
        <patternFill>
          <bgColor rgb="FFFF0000"/>
        </patternFill>
      </fill>
    </dxf>
    <dxf>
      <font>
        <b val="1"/>
        <i val="0"/>
      </font>
    </dxf>
    <dxf>
      <fill>
        <patternFill>
          <bgColor rgb="FFFF0000"/>
        </patternFill>
      </fill>
    </dxf>
    <dxf>
      <fill>
        <patternFill>
          <bgColor rgb="FFFF0000"/>
        </patternFill>
      </fill>
    </dxf>
  </dxfs>
  <colors>
    <indexedColors>
      <rgbColor rgb="FF000000"/>
      <rgbColor rgb="FFFFFFFF"/>
      <rgbColor rgb="FFFF0000"/>
      <rgbColor rgb="FF00FF00"/>
      <rgbColor rgb="FF0000FF"/>
      <rgbColor rgb="FFDFDFDF"/>
      <rgbColor rgb="FFFF00FF"/>
      <rgbColor rgb="FF00FFFF"/>
      <rgbColor rgb="FF800000"/>
      <rgbColor rgb="FF008000"/>
      <rgbColor rgb="FF000080"/>
      <rgbColor rgb="FF808000"/>
      <rgbColor rgb="FF800080"/>
      <rgbColor rgb="FF0070C0"/>
      <rgbColor rgb="FFC0C0C0"/>
      <rgbColor rgb="FF808080"/>
      <rgbColor rgb="FF9999FF"/>
      <rgbColor rgb="FF993366"/>
      <rgbColor rgb="FFF2F2F2"/>
      <rgbColor rgb="FFF2F2FF"/>
      <rgbColor rgb="FF660066"/>
      <rgbColor rgb="FFD9D9D9"/>
      <rgbColor rgb="FF0563C1"/>
      <rgbColor rgb="FFCCCCFF"/>
      <rgbColor rgb="FF000080"/>
      <rgbColor rgb="FFFF00FF"/>
      <rgbColor rgb="FFFFFF00"/>
      <rgbColor rgb="FF00FFFF"/>
      <rgbColor rgb="FF800080"/>
      <rgbColor rgb="FF800000"/>
      <rgbColor rgb="FF008080"/>
      <rgbColor rgb="FF0000FF"/>
      <rgbColor rgb="FF00CCFF"/>
      <rgbColor rgb="FFF3F3FF"/>
      <rgbColor rgb="FFF0F0F0"/>
      <rgbColor rgb="FFFFFF99"/>
      <rgbColor rgb="FF99CCFF"/>
      <rgbColor rgb="FFBFBFBF"/>
      <rgbColor rgb="FFA8A8A8"/>
      <rgbColor rgb="FFFFCC99"/>
      <rgbColor rgb="FF3366FF"/>
      <rgbColor rgb="FF33CCCC"/>
      <rgbColor rgb="FF99CC00"/>
      <rgbColor rgb="FFFFCC00"/>
      <rgbColor rgb="FFFFC0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sharedStrings" Target="sharedStrings.xml"/>
</Relationships>
</file>

<file path=xl/ctrlProps/ctrlProps10.xml><?xml version="1.0" encoding="utf-8"?>
<formControlPr xmlns="http://schemas.microsoft.com/office/spreadsheetml/2009/9/main" objectType="CheckBox" checked="Checked" autoLine="false" print="false" fmlaLink="ORÇAMENTO!$AF$9" lockText="1" noThreeD="1"/>
</file>

<file path=xl/ctrlProps/ctrlProps11.xml><?xml version="1.0" encoding="utf-8"?>
<formControlPr xmlns="http://schemas.microsoft.com/office/spreadsheetml/2009/9/main" objectType="CheckBox" checked="Checked" autoLine="false" print="false" fmlaLink="ORÇAMENTO!$AF$10" lockText="1" noThreeD="1"/>
</file>

<file path=xl/ctrlProps/ctrlProps12.xml><?xml version="1.0" encoding="utf-8"?>
<formControlPr xmlns="http://schemas.microsoft.com/office/spreadsheetml/2009/9/main" objectType="CheckBox" checked="Checked" autoLine="false" print="false" fmlaLink="ORÇAMENTO!$AF$11" lockText="1" noThreeD="1"/>
</file>

<file path=xl/ctrlProps/ctrlProps20.xml><?xml version="1.0" encoding="utf-8"?>
<formControlPr xmlns="http://schemas.microsoft.com/office/spreadsheetml/2009/9/main" objectType="CheckBox" autoLine="false" print="false" fmlaLink="NOVO!$A$9" lockText="1" noThreeD="1"/>
</file>

<file path=xl/ctrlProps/ctrlProps3.xml><?xml version="1.0" encoding="utf-8"?>
<formControlPr xmlns="http://schemas.microsoft.com/office/spreadsheetml/2009/9/main" objectType="CheckBox" checked="Checked" autoLine="false" print="true" fmlaLink="MENU!$K$1" lockText="1" noThreeD="1"/>
</file>

<file path=xl/ctrlProps/ctrlProps4.xml><?xml version="1.0" encoding="utf-8"?>
<formControlPr xmlns="http://schemas.microsoft.com/office/spreadsheetml/2009/9/main" objectType="CheckBox" checked="Checked" autoLine="false" print="true" fmlaLink="MENU!$K$2" lockText="1" noThreeD="1"/>
</file>

<file path=xl/ctrlProps/ctrlProps8.xml><?xml version="1.0" encoding="utf-8"?>
<formControlPr xmlns="http://schemas.microsoft.com/office/spreadsheetml/2009/9/main" objectType="CheckBox" autoLine="false" print="false" fmlaLink="NOVO!$AF$7" lockText="1" noThreeD="1"/>
</file>

<file path=xl/ctrlProps/ctrlProps9.xml><?xml version="1.0" encoding="utf-8"?>
<formControlPr xmlns="http://schemas.microsoft.com/office/spreadsheetml/2009/9/main" objectType="CheckBox" checked="Checked" autoLine="false" print="false" fmlaLink="ORÇAMENTO!$AF$8" lockText="1" noThreeD="1"/>
</file>

<file path=xl/drawings/_rels/drawing1.xml.rels><?xml version="1.0" encoding="UTF-8"?>
<Relationships xmlns="http://schemas.openxmlformats.org/package/2006/relationships"><Relationship Id="rId1" Type="http://schemas.openxmlformats.org/officeDocument/2006/relationships/hyperlink" Target="#MENU!E6"/>
</Relationships>
</file>

<file path=xl/drawings/_rels/drawing13.xml.rels><?xml version="1.0" encoding="UTF-8"?>
<Relationships xmlns="http://schemas.openxmlformats.org/package/2006/relationships"><Relationship Id="rId1" Type="http://schemas.openxmlformats.org/officeDocument/2006/relationships/hyperlink" Target="#C&#193;LCULO!A1"/><Relationship Id="rId2" Type="http://schemas.openxmlformats.org/officeDocument/2006/relationships/image" Target="../media/image2.emf"/><Relationship Id="rId3" Type="http://schemas.openxmlformats.org/officeDocument/2006/relationships/hyperlink" Target="#MENU!E6"/><Relationship Id="rId4" Type="http://schemas.openxmlformats.org/officeDocument/2006/relationships/hyperlink" Target="#OR&#199;AMENTO!M13"/>
</Relationships>
</file>

<file path=xl/drawings/_rels/drawing14.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hyperlink" Target="#OR&#199;AMENTO!M13"/><Relationship Id="rId3" Type="http://schemas.openxmlformats.org/officeDocument/2006/relationships/image" Target="../media/image2.emf"/>
</Relationships>
</file>

<file path=xl/drawings/_rels/drawing15.xml.rels><?xml version="1.0" encoding="UTF-8"?>
<Relationships xmlns="http://schemas.openxmlformats.org/package/2006/relationships"><Relationship Id="rId1" Type="http://schemas.openxmlformats.org/officeDocument/2006/relationships/hyperlink" Target="#EVENTOS!D15"/><Relationship Id="rId2" Type="http://schemas.openxmlformats.org/officeDocument/2006/relationships/image" Target="../media/image2.emf"/><Relationship Id="rId3" Type="http://schemas.openxmlformats.org/officeDocument/2006/relationships/hyperlink" Target="#MENU!E6"/><Relationship Id="rId4" Type="http://schemas.openxmlformats.org/officeDocument/2006/relationships/hyperlink" Target="#CRONO!E7"/><Relationship Id="rId5" Type="http://schemas.openxmlformats.org/officeDocument/2006/relationships/hyperlink" Target="#C&#193;LCULO!Q12"/>
</Relationships>
</file>

<file path=xl/drawings/_rels/drawing16.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image" Target="../media/image2.emf"/><Relationship Id="rId3" Type="http://schemas.openxmlformats.org/officeDocument/2006/relationships/hyperlink" Target="#QCI!H13"/><Relationship Id="rId4" Type="http://schemas.openxmlformats.org/officeDocument/2006/relationships/hyperlink" Target="#OR&#199;AMENTO!T16"/>
</Relationships>
</file>

<file path=xl/drawings/_rels/drawing17.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image" Target="../media/image2.emf"/><Relationship Id="rId3" Type="http://schemas.openxmlformats.org/officeDocument/2006/relationships/hyperlink" Target="#DADOS!E21"/>
</Relationships>
</file>

<file path=xl/drawings/_rels/drawing18.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hyperlink" Target="#C&#193;LCULO!D13"/><Relationship Id="rId3" Type="http://schemas.openxmlformats.org/officeDocument/2006/relationships/hyperlink" Target="#RRE!E13"/><Relationship Id="rId4" Type="http://schemas.openxmlformats.org/officeDocument/2006/relationships/image" Target="../media/image2.emf"/><Relationship Id="rId5" Type="http://schemas.openxmlformats.org/officeDocument/2006/relationships/hyperlink" Target="#CRONOPLE!G15"/>
</Relationships>
</file>

<file path=xl/drawings/_rels/drawing19.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hyperlink" Target="#CRONO!T14"/><Relationship Id="rId3" Type="http://schemas.openxmlformats.org/officeDocument/2006/relationships/image" Target="../media/image2.emf"/><Relationship Id="rId4" Type="http://schemas.openxmlformats.org/officeDocument/2006/relationships/hyperlink" Target="#RRE!E13"/><Relationship Id="rId5" Type="http://schemas.openxmlformats.org/officeDocument/2006/relationships/hyperlink" Target="#DADOS!F40"/>
</Relationships>
</file>

<file path=xl/drawings/_rels/drawing2.xml.rels><?xml version="1.0" encoding="UTF-8"?>
<Relationships xmlns="http://schemas.openxmlformats.org/package/2006/relationships"><Relationship Id="rId1" Type="http://schemas.openxmlformats.org/officeDocument/2006/relationships/image" Target="../media/image1.emf"/>
</Relationships>
</file>

<file path=xl/drawings/_rels/drawing21.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image" Target="../media/image2.emf"/><Relationship Id="rId3" Type="http://schemas.openxmlformats.org/officeDocument/2006/relationships/hyperlink" Target="#OF&#205;CIO:OF&#205;CIO!$F:$F"/>
</Relationships>
</file>

<file path=xl/drawings/_rels/drawing22.xml.rels><?xml version="1.0" encoding="UTF-8"?>
<Relationships xmlns="http://schemas.openxmlformats.org/package/2006/relationships"><Relationship Id="rId1" Type="http://schemas.openxmlformats.org/officeDocument/2006/relationships/hyperlink" Target="#DADOS!E46"/><Relationship Id="rId2" Type="http://schemas.openxmlformats.org/officeDocument/2006/relationships/hyperlink" Target="#RRE!E13"/><Relationship Id="rId3" Type="http://schemas.openxmlformats.org/officeDocument/2006/relationships/hyperlink" Target="#MENU!E6"/>
</Relationships>
</file>

<file path=xl/drawings/_rels/drawing5.xml.rels><?xml version="1.0" encoding="UTF-8"?>
<Relationships xmlns="http://schemas.openxmlformats.org/package/2006/relationships"><Relationship Id="rId1" Type="http://schemas.openxmlformats.org/officeDocument/2006/relationships/hyperlink" Target="#MENU!E6"/><Relationship Id="rId2" Type="http://schemas.openxmlformats.org/officeDocument/2006/relationships/hyperlink" Target="#BDI!J14"/>
</Relationships>
</file>

<file path=xl/drawings/_rels/drawing6.xml.rels><?xml version="1.0" encoding="UTF-8"?>
<Relationships xmlns="http://schemas.openxmlformats.org/package/2006/relationships"><Relationship Id="rId1" Type="http://schemas.openxmlformats.org/officeDocument/2006/relationships/image" Target="../media/image2.emf"/><Relationship Id="rId2" Type="http://schemas.openxmlformats.org/officeDocument/2006/relationships/hyperlink" Target="#MENU!E6"/><Relationship Id="rId3" Type="http://schemas.openxmlformats.org/officeDocument/2006/relationships/hyperlink" Target="#OR&#199;AMENTO!M13"/>
</Relationships>
</file>

<file path=xl/drawings/_rels/drawing7.xml.rels><?xml version="1.0" encoding="UTF-8"?>
<Relationships xmlns="http://schemas.openxmlformats.org/package/2006/relationships"><Relationship Id="rId1" Type="http://schemas.openxmlformats.org/officeDocument/2006/relationships/image" Target="../media/image2.emf"/><Relationship Id="rId2" Type="http://schemas.openxmlformats.org/officeDocument/2006/relationships/hyperlink" Target="#MENU!E6"/><Relationship Id="rId3" Type="http://schemas.openxmlformats.org/officeDocument/2006/relationships/hyperlink" Target="#BDI!J14"/><Relationship Id="rId4" Type="http://schemas.openxmlformats.org/officeDocument/2006/relationships/hyperlink" Target="#C&#193;LCULO!I16"/>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104760</xdr:colOff>
      <xdr:row>0</xdr:row>
      <xdr:rowOff>76320</xdr:rowOff>
    </xdr:from>
    <xdr:to>
      <xdr:col>1</xdr:col>
      <xdr:colOff>102600</xdr:colOff>
      <xdr:row>2</xdr:row>
      <xdr:rowOff>49320</xdr:rowOff>
    </xdr:to>
    <xdr:sp>
      <xdr:nvSpPr>
        <xdr:cNvPr id="1" name="AutoShape 67">
          <a:hlinkClick r:id="rId1"/>
        </xdr:cNvPr>
        <xdr:cNvSpPr/>
      </xdr:nvSpPr>
      <xdr:spPr>
        <a:xfrm>
          <a:off x="104760" y="76320"/>
          <a:ext cx="601560" cy="2970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315720</xdr:colOff>
      <xdr:row>9</xdr:row>
      <xdr:rowOff>0</xdr:rowOff>
    </xdr:from>
    <xdr:to>
      <xdr:col>3</xdr:col>
      <xdr:colOff>1774440</xdr:colOff>
      <xdr:row>9</xdr:row>
      <xdr:rowOff>304560</xdr:rowOff>
    </xdr:to>
    <xdr:sp macro="[0]!Linhas.AddLinha">
      <xdr:nvSpPr>
        <xdr:cNvPr id="33" name="AutoShape 67"/>
        <xdr:cNvSpPr/>
      </xdr:nvSpPr>
      <xdr:spPr>
        <a:xfrm>
          <a:off x="1452960" y="1571760"/>
          <a:ext cx="1458720" cy="30456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ADICIONAR LINHAS</a:t>
          </a:r>
          <a:endParaRPr lang="pt-BR" sz="1100" b="0" u="none" strike="noStrike">
            <a:effectLst/>
            <a:uFillTx/>
            <a:latin typeface="Times New Roman"/>
          </a:endParaRPr>
        </a:p>
      </xdr:txBody>
    </xdr:sp>
    <xdr:clientData/>
  </xdr:twoCellAnchor>
  <xdr:twoCellAnchor editAs="twoCell">
    <xdr:from>
      <xdr:col>3</xdr:col>
      <xdr:colOff>1866240</xdr:colOff>
      <xdr:row>9</xdr:row>
      <xdr:rowOff>0</xdr:rowOff>
    </xdr:from>
    <xdr:to>
      <xdr:col>3</xdr:col>
      <xdr:colOff>3301920</xdr:colOff>
      <xdr:row>9</xdr:row>
      <xdr:rowOff>304560</xdr:rowOff>
    </xdr:to>
    <xdr:sp macro="[0]!Linhas.ExcLinhas">
      <xdr:nvSpPr>
        <xdr:cNvPr id="34" name="AutoShape 67"/>
        <xdr:cNvSpPr/>
      </xdr:nvSpPr>
      <xdr:spPr>
        <a:xfrm>
          <a:off x="3003480" y="1571760"/>
          <a:ext cx="1435680" cy="30456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EXCLUIR LINHAS</a:t>
          </a:r>
          <a:endParaRPr lang="pt-BR" sz="1100" b="0" u="none" strike="noStrike">
            <a:effectLst/>
            <a:uFillTx/>
            <a:latin typeface="Times New Roman"/>
          </a:endParaRPr>
        </a:p>
      </xdr:txBody>
    </xdr:sp>
    <xdr:clientData/>
  </xdr:twoCellAnchor>
  <xdr:twoCellAnchor editAs="twoCell">
    <xdr:from>
      <xdr:col>5</xdr:col>
      <xdr:colOff>95400</xdr:colOff>
      <xdr:row>9</xdr:row>
      <xdr:rowOff>0</xdr:rowOff>
    </xdr:from>
    <xdr:to>
      <xdr:col>5</xdr:col>
      <xdr:colOff>1851840</xdr:colOff>
      <xdr:row>9</xdr:row>
      <xdr:rowOff>304560</xdr:rowOff>
    </xdr:to>
    <xdr:sp>
      <xdr:nvSpPr>
        <xdr:cNvPr id="35" name="AutoShape 67">
          <a:hlinkClick r:id="rId1"/>
        </xdr:cNvPr>
        <xdr:cNvSpPr/>
      </xdr:nvSpPr>
      <xdr:spPr>
        <a:xfrm>
          <a:off x="4797000" y="1571760"/>
          <a:ext cx="175644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DEFINIR FRENTES DE OBRA</a:t>
          </a:r>
          <a:endParaRPr lang="pt-BR" sz="1100" b="0" u="none" strike="noStrike">
            <a:effectLst/>
            <a:uFillTx/>
            <a:latin typeface="Times New Roman"/>
          </a:endParaRPr>
        </a:p>
      </xdr:txBody>
    </xdr:sp>
    <xdr:clientData/>
  </xdr:twoCellAnchor>
  <xdr:twoCellAnchor editAs="twoCell">
    <xdr:from>
      <xdr:col>2</xdr:col>
      <xdr:colOff>31680</xdr:colOff>
      <xdr:row>1</xdr:row>
      <xdr:rowOff>31680</xdr:rowOff>
    </xdr:from>
    <xdr:to>
      <xdr:col>3</xdr:col>
      <xdr:colOff>1006560</xdr:colOff>
      <xdr:row>2</xdr:row>
      <xdr:rowOff>35640</xdr:rowOff>
    </xdr:to>
    <xdr:pic>
      <xdr:nvPicPr>
        <xdr:cNvPr id="36" name="Picture 2"/>
        <xdr:cNvPicPr/>
      </xdr:nvPicPr>
      <xdr:blipFill>
        <a:blip r:embed="rId2"/>
        <a:stretch/>
      </xdr:blipFill>
      <xdr:spPr>
        <a:xfrm>
          <a:off x="283320" y="31680"/>
          <a:ext cx="1860480" cy="384840"/>
        </a:xfrm>
        <a:prstGeom prst="rect">
          <a:avLst/>
        </a:prstGeom>
        <a:noFill/>
        <a:ln w="0">
          <a:noFill/>
        </a:ln>
      </xdr:spPr>
    </xdr:pic>
    <xdr:clientData/>
  </xdr:twoCellAnchor>
  <xdr:twoCellAnchor editAs="twoCell">
    <xdr:from>
      <xdr:col>0</xdr:col>
      <xdr:colOff>95400</xdr:colOff>
      <xdr:row>9</xdr:row>
      <xdr:rowOff>0</xdr:rowOff>
    </xdr:from>
    <xdr:to>
      <xdr:col>2</xdr:col>
      <xdr:colOff>421200</xdr:colOff>
      <xdr:row>9</xdr:row>
      <xdr:rowOff>304560</xdr:rowOff>
    </xdr:to>
    <xdr:sp>
      <xdr:nvSpPr>
        <xdr:cNvPr id="37" name="AutoShape 67">
          <a:hlinkClick r:id="rId3"/>
        </xdr:cNvPr>
        <xdr:cNvSpPr/>
      </xdr:nvSpPr>
      <xdr:spPr>
        <a:xfrm>
          <a:off x="95400" y="1571760"/>
          <a:ext cx="57744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2</xdr:col>
      <xdr:colOff>497520</xdr:colOff>
      <xdr:row>9</xdr:row>
      <xdr:rowOff>3960</xdr:rowOff>
    </xdr:from>
    <xdr:to>
      <xdr:col>3</xdr:col>
      <xdr:colOff>229680</xdr:colOff>
      <xdr:row>9</xdr:row>
      <xdr:rowOff>308520</xdr:rowOff>
    </xdr:to>
    <xdr:sp>
      <xdr:nvSpPr>
        <xdr:cNvPr id="38" name="AutoShape 67">
          <a:hlinkClick r:id="rId4"/>
        </xdr:cNvPr>
        <xdr:cNvSpPr/>
      </xdr:nvSpPr>
      <xdr:spPr>
        <a:xfrm>
          <a:off x="749160" y="1575720"/>
          <a:ext cx="61776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PO</a:t>
          </a:r>
          <a:endParaRPr lang="pt-BR" sz="1100" b="0" u="none" strike="noStrike">
            <a:effectLst/>
            <a:uFillTx/>
            <a:latin typeface="Times New Roman"/>
          </a:endParaRPr>
        </a:p>
      </xdr:txBody>
    </xdr:sp>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twoCell">
    <xdr:from>
      <xdr:col>2</xdr:col>
      <xdr:colOff>152280</xdr:colOff>
      <xdr:row>6</xdr:row>
      <xdr:rowOff>9360</xdr:rowOff>
    </xdr:from>
    <xdr:to>
      <xdr:col>3</xdr:col>
      <xdr:colOff>473760</xdr:colOff>
      <xdr:row>7</xdr:row>
      <xdr:rowOff>123480</xdr:rowOff>
    </xdr:to>
    <xdr:sp>
      <xdr:nvSpPr>
        <xdr:cNvPr id="39" name="AutoShape 67">
          <a:hlinkClick r:id="rId1"/>
        </xdr:cNvPr>
        <xdr:cNvSpPr/>
      </xdr:nvSpPr>
      <xdr:spPr>
        <a:xfrm>
          <a:off x="152280" y="209520"/>
          <a:ext cx="57312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5</xdr:col>
      <xdr:colOff>178920</xdr:colOff>
      <xdr:row>11</xdr:row>
      <xdr:rowOff>266760</xdr:rowOff>
    </xdr:from>
    <xdr:to>
      <xdr:col>5</xdr:col>
      <xdr:colOff>2904480</xdr:colOff>
      <xdr:row>11</xdr:row>
      <xdr:rowOff>571320</xdr:rowOff>
    </xdr:to>
    <xdr:sp macro="[0]!IrPara_Eventos">
      <xdr:nvSpPr>
        <xdr:cNvPr id="40" name="AutoShape 67"/>
        <xdr:cNvSpPr/>
      </xdr:nvSpPr>
      <xdr:spPr>
        <a:xfrm>
          <a:off x="1920240" y="1333440"/>
          <a:ext cx="272556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REDEFINIR AGRUPADORES DE EVENTOS</a:t>
          </a:r>
          <a:endParaRPr lang="pt-BR" sz="1100" b="0" u="none" strike="noStrike">
            <a:effectLst/>
            <a:uFillTx/>
            <a:latin typeface="Times New Roman"/>
          </a:endParaRPr>
        </a:p>
      </xdr:txBody>
    </xdr:sp>
    <xdr:clientData/>
  </xdr:twoCellAnchor>
  <xdr:twoCellAnchor editAs="twoCell">
    <xdr:from>
      <xdr:col>5</xdr:col>
      <xdr:colOff>2977560</xdr:colOff>
      <xdr:row>11</xdr:row>
      <xdr:rowOff>266760</xdr:rowOff>
    </xdr:from>
    <xdr:to>
      <xdr:col>6</xdr:col>
      <xdr:colOff>26280</xdr:colOff>
      <xdr:row>11</xdr:row>
      <xdr:rowOff>571320</xdr:rowOff>
    </xdr:to>
    <xdr:sp macro="[0]!Colunas.incluirpag">
      <xdr:nvSpPr>
        <xdr:cNvPr id="41" name="AutoShape 67"/>
        <xdr:cNvSpPr/>
      </xdr:nvSpPr>
      <xdr:spPr>
        <a:xfrm>
          <a:off x="4718880" y="1333440"/>
          <a:ext cx="1670040" cy="30456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ADICIONAR 8 FRENTES</a:t>
          </a:r>
          <a:endParaRPr lang="pt-BR" sz="1100" b="0" u="none" strike="noStrike">
            <a:effectLst/>
            <a:uFillTx/>
            <a:latin typeface="Times New Roman"/>
          </a:endParaRPr>
        </a:p>
      </xdr:txBody>
    </xdr:sp>
    <xdr:clientData/>
  </xdr:twoCellAnchor>
  <xdr:twoCellAnchor editAs="twoCell">
    <xdr:from>
      <xdr:col>6</xdr:col>
      <xdr:colOff>93240</xdr:colOff>
      <xdr:row>11</xdr:row>
      <xdr:rowOff>266760</xdr:rowOff>
    </xdr:from>
    <xdr:to>
      <xdr:col>7</xdr:col>
      <xdr:colOff>908280</xdr:colOff>
      <xdr:row>11</xdr:row>
      <xdr:rowOff>580680</xdr:rowOff>
    </xdr:to>
    <xdr:sp macro="[0]!Colunas.excluirpag">
      <xdr:nvSpPr>
        <xdr:cNvPr id="42" name="AutoShape 67"/>
        <xdr:cNvSpPr/>
      </xdr:nvSpPr>
      <xdr:spPr>
        <a:xfrm>
          <a:off x="6455880" y="1333440"/>
          <a:ext cx="1559880" cy="3139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EXCLUIR 8 FRENTES</a:t>
          </a:r>
          <a:endParaRPr lang="pt-BR" sz="1100" b="0" u="none" strike="noStrike">
            <a:effectLst/>
            <a:uFillTx/>
            <a:latin typeface="Times New Roman"/>
          </a:endParaRPr>
        </a:p>
      </xdr:txBody>
    </xdr:sp>
    <xdr:clientData/>
  </xdr:twoCellAnchor>
  <xdr:twoCellAnchor editAs="twoCell">
    <xdr:from>
      <xdr:col>2</xdr:col>
      <xdr:colOff>137520</xdr:colOff>
      <xdr:row>8</xdr:row>
      <xdr:rowOff>13680</xdr:rowOff>
    </xdr:from>
    <xdr:to>
      <xdr:col>3</xdr:col>
      <xdr:colOff>472680</xdr:colOff>
      <xdr:row>9</xdr:row>
      <xdr:rowOff>157320</xdr:rowOff>
    </xdr:to>
    <xdr:sp>
      <xdr:nvSpPr>
        <xdr:cNvPr id="43" name="AutoShape 67">
          <a:hlinkClick r:id="rId2"/>
        </xdr:cNvPr>
        <xdr:cNvSpPr/>
      </xdr:nvSpPr>
      <xdr:spPr>
        <a:xfrm>
          <a:off x="137520" y="566280"/>
          <a:ext cx="586800" cy="305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PO</a:t>
          </a:r>
          <a:endParaRPr lang="pt-BR" sz="1100" b="0" u="none" strike="noStrike">
            <a:effectLst/>
            <a:uFillTx/>
            <a:latin typeface="Times New Roman"/>
          </a:endParaRPr>
        </a:p>
      </xdr:txBody>
    </xdr:sp>
    <xdr:clientData/>
  </xdr:twoCellAnchor>
  <xdr:twoCellAnchor editAs="twoCell">
    <xdr:from>
      <xdr:col>4</xdr:col>
      <xdr:colOff>0</xdr:colOff>
      <xdr:row>5</xdr:row>
      <xdr:rowOff>21240</xdr:rowOff>
    </xdr:from>
    <xdr:to>
      <xdr:col>5</xdr:col>
      <xdr:colOff>974880</xdr:colOff>
      <xdr:row>7</xdr:row>
      <xdr:rowOff>14400</xdr:rowOff>
    </xdr:to>
    <xdr:pic>
      <xdr:nvPicPr>
        <xdr:cNvPr id="44" name="Picture 2"/>
        <xdr:cNvPicPr/>
      </xdr:nvPicPr>
      <xdr:blipFill>
        <a:blip r:embed="rId3"/>
        <a:stretch/>
      </xdr:blipFill>
      <xdr:spPr>
        <a:xfrm>
          <a:off x="855360" y="21240"/>
          <a:ext cx="1860840" cy="383760"/>
        </a:xfrm>
        <a:prstGeom prst="rect">
          <a:avLst/>
        </a:prstGeom>
        <a:noFill/>
        <a:ln w="0">
          <a:noFill/>
        </a:ln>
      </xdr:spPr>
    </xdr:pic>
    <xdr:clientData/>
  </xdr:twoCellAnchor>
  <xdr:twoCellAnchor editAs="twoCell">
    <xdr:from>
      <xdr:col>2</xdr:col>
      <xdr:colOff>137520</xdr:colOff>
      <xdr:row>10</xdr:row>
      <xdr:rowOff>66600</xdr:rowOff>
    </xdr:from>
    <xdr:to>
      <xdr:col>3</xdr:col>
      <xdr:colOff>472680</xdr:colOff>
      <xdr:row>11</xdr:row>
      <xdr:rowOff>212400</xdr:rowOff>
    </xdr:to>
    <xdr:sp macro="[0]!IrPara_Crono">
      <xdr:nvSpPr>
        <xdr:cNvPr id="45" name="AutoShape 67"/>
        <xdr:cNvSpPr/>
      </xdr:nvSpPr>
      <xdr:spPr>
        <a:xfrm>
          <a:off x="137520" y="942840"/>
          <a:ext cx="586800" cy="3362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CRONO</a:t>
          </a:r>
          <a:endParaRPr lang="pt-BR" sz="1100" b="0" u="none" strike="noStrike">
            <a:effectLst/>
            <a:uFillTx/>
            <a:latin typeface="Times New Roman"/>
          </a:endParaRPr>
        </a:p>
      </xdr:txBody>
    </xdr:sp>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twoCell">
    <xdr:from>
      <xdr:col>2</xdr:col>
      <xdr:colOff>138960</xdr:colOff>
      <xdr:row>10</xdr:row>
      <xdr:rowOff>0</xdr:rowOff>
    </xdr:from>
    <xdr:to>
      <xdr:col>2</xdr:col>
      <xdr:colOff>826200</xdr:colOff>
      <xdr:row>10</xdr:row>
      <xdr:rowOff>313920</xdr:rowOff>
    </xdr:to>
    <xdr:sp>
      <xdr:nvSpPr>
        <xdr:cNvPr id="46" name="AutoShape 67">
          <a:hlinkClick r:id="rId1"/>
        </xdr:cNvPr>
        <xdr:cNvSpPr/>
      </xdr:nvSpPr>
      <xdr:spPr>
        <a:xfrm>
          <a:off x="964440" y="1638360"/>
          <a:ext cx="687240" cy="31392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EVENTOS</a:t>
          </a:r>
          <a:endParaRPr lang="pt-BR" sz="1100" b="0" u="none" strike="noStrike">
            <a:effectLst/>
            <a:uFillTx/>
            <a:latin typeface="Times New Roman"/>
          </a:endParaRPr>
        </a:p>
      </xdr:txBody>
    </xdr:sp>
    <xdr:clientData/>
  </xdr:twoCellAnchor>
  <xdr:twoCellAnchor editAs="twoCell">
    <xdr:from>
      <xdr:col>2</xdr:col>
      <xdr:colOff>137160</xdr:colOff>
      <xdr:row>10</xdr:row>
      <xdr:rowOff>409680</xdr:rowOff>
    </xdr:from>
    <xdr:to>
      <xdr:col>2</xdr:col>
      <xdr:colOff>1603440</xdr:colOff>
      <xdr:row>10</xdr:row>
      <xdr:rowOff>714240</xdr:rowOff>
    </xdr:to>
    <xdr:sp macro="[0]!CRONO.AtualizarLinhas">
      <xdr:nvSpPr>
        <xdr:cNvPr id="47" name="AutoShape 67"/>
        <xdr:cNvSpPr/>
      </xdr:nvSpPr>
      <xdr:spPr>
        <a:xfrm>
          <a:off x="962640" y="2048040"/>
          <a:ext cx="1466280" cy="30456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ATUALIZAR LINHAS</a:t>
          </a:r>
          <a:endParaRPr lang="pt-BR" sz="1100" b="0" u="none" strike="noStrike">
            <a:effectLst/>
            <a:uFillTx/>
            <a:latin typeface="Times New Roman"/>
          </a:endParaRPr>
        </a:p>
      </xdr:txBody>
    </xdr:sp>
    <xdr:clientData/>
  </xdr:twoCellAnchor>
  <xdr:twoCellAnchor editAs="twoCell">
    <xdr:from>
      <xdr:col>1</xdr:col>
      <xdr:colOff>0</xdr:colOff>
      <xdr:row>1</xdr:row>
      <xdr:rowOff>21240</xdr:rowOff>
    </xdr:from>
    <xdr:to>
      <xdr:col>2</xdr:col>
      <xdr:colOff>1281960</xdr:colOff>
      <xdr:row>2</xdr:row>
      <xdr:rowOff>25200</xdr:rowOff>
    </xdr:to>
    <xdr:pic>
      <xdr:nvPicPr>
        <xdr:cNvPr id="48" name="Picture 2"/>
        <xdr:cNvPicPr/>
      </xdr:nvPicPr>
      <xdr:blipFill>
        <a:blip r:embed="rId2"/>
        <a:stretch/>
      </xdr:blipFill>
      <xdr:spPr>
        <a:xfrm>
          <a:off x="251640" y="21240"/>
          <a:ext cx="1855800" cy="384840"/>
        </a:xfrm>
        <a:prstGeom prst="rect">
          <a:avLst/>
        </a:prstGeom>
        <a:noFill/>
        <a:ln w="0">
          <a:noFill/>
        </a:ln>
      </xdr:spPr>
    </xdr:pic>
    <xdr:clientData/>
  </xdr:twoCellAnchor>
  <xdr:twoCellAnchor editAs="twoCell">
    <xdr:from>
      <xdr:col>1</xdr:col>
      <xdr:colOff>19080</xdr:colOff>
      <xdr:row>10</xdr:row>
      <xdr:rowOff>9360</xdr:rowOff>
    </xdr:from>
    <xdr:to>
      <xdr:col>2</xdr:col>
      <xdr:colOff>45360</xdr:colOff>
      <xdr:row>10</xdr:row>
      <xdr:rowOff>313920</xdr:rowOff>
    </xdr:to>
    <xdr:sp>
      <xdr:nvSpPr>
        <xdr:cNvPr id="49" name="AutoShape 67">
          <a:hlinkClick r:id="rId3"/>
        </xdr:cNvPr>
        <xdr:cNvSpPr/>
      </xdr:nvSpPr>
      <xdr:spPr>
        <a:xfrm>
          <a:off x="270720" y="1647720"/>
          <a:ext cx="60012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2</xdr:col>
      <xdr:colOff>1672560</xdr:colOff>
      <xdr:row>10</xdr:row>
      <xdr:rowOff>0</xdr:rowOff>
    </xdr:from>
    <xdr:to>
      <xdr:col>2</xdr:col>
      <xdr:colOff>2359800</xdr:colOff>
      <xdr:row>10</xdr:row>
      <xdr:rowOff>313920</xdr:rowOff>
    </xdr:to>
    <xdr:sp>
      <xdr:nvSpPr>
        <xdr:cNvPr id="50" name="AutoShape 67">
          <a:hlinkClick r:id="rId4"/>
        </xdr:cNvPr>
        <xdr:cNvSpPr/>
      </xdr:nvSpPr>
      <xdr:spPr>
        <a:xfrm>
          <a:off x="2498040" y="1638360"/>
          <a:ext cx="687240" cy="31392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CFF</a:t>
          </a:r>
          <a:endParaRPr lang="pt-BR" sz="1100" b="0" u="none" strike="noStrike">
            <a:effectLst/>
            <a:uFillTx/>
            <a:latin typeface="Times New Roman"/>
          </a:endParaRPr>
        </a:p>
      </xdr:txBody>
    </xdr:sp>
    <xdr:clientData/>
  </xdr:twoCellAnchor>
  <xdr:twoCellAnchor editAs="twoCell">
    <xdr:from>
      <xdr:col>2</xdr:col>
      <xdr:colOff>901080</xdr:colOff>
      <xdr:row>10</xdr:row>
      <xdr:rowOff>0</xdr:rowOff>
    </xdr:from>
    <xdr:to>
      <xdr:col>2</xdr:col>
      <xdr:colOff>1588320</xdr:colOff>
      <xdr:row>10</xdr:row>
      <xdr:rowOff>313920</xdr:rowOff>
    </xdr:to>
    <xdr:sp>
      <xdr:nvSpPr>
        <xdr:cNvPr id="51" name="AutoShape 67">
          <a:hlinkClick r:id="rId5"/>
        </xdr:cNvPr>
        <xdr:cNvSpPr/>
      </xdr:nvSpPr>
      <xdr:spPr>
        <a:xfrm>
          <a:off x="1726560" y="1638360"/>
          <a:ext cx="687240" cy="31392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PLQ</a:t>
          </a:r>
          <a:endParaRPr lang="pt-BR" sz="1100" b="0" u="none" strike="noStrike">
            <a:effectLst/>
            <a:uFillTx/>
            <a:latin typeface="Times New Roman"/>
          </a:endParaRPr>
        </a:p>
      </xdr:txBody>
    </xdr:sp>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dr:twoCellAnchor editAs="twoCell">
    <xdr:from>
      <xdr:col>7</xdr:col>
      <xdr:colOff>142920</xdr:colOff>
      <xdr:row>3</xdr:row>
      <xdr:rowOff>85680</xdr:rowOff>
    </xdr:from>
    <xdr:to>
      <xdr:col>7</xdr:col>
      <xdr:colOff>729360</xdr:colOff>
      <xdr:row>4</xdr:row>
      <xdr:rowOff>188640</xdr:rowOff>
    </xdr:to>
    <xdr:sp>
      <xdr:nvSpPr>
        <xdr:cNvPr id="52" name="AutoShape 67">
          <a:hlinkClick r:id="rId1"/>
        </xdr:cNvPr>
        <xdr:cNvSpPr/>
      </xdr:nvSpPr>
      <xdr:spPr>
        <a:xfrm>
          <a:off x="394560" y="85680"/>
          <a:ext cx="586440" cy="2934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20</xdr:col>
      <xdr:colOff>66600</xdr:colOff>
      <xdr:row>8</xdr:row>
      <xdr:rowOff>93240</xdr:rowOff>
    </xdr:from>
    <xdr:to>
      <xdr:col>22</xdr:col>
      <xdr:colOff>697680</xdr:colOff>
      <xdr:row>10</xdr:row>
      <xdr:rowOff>75600</xdr:rowOff>
    </xdr:to>
    <xdr:sp macro="[0]!IrPara_CronoPLE">
      <xdr:nvSpPr>
        <xdr:cNvPr id="53" name="CRONO.b.preenchEventos"/>
        <xdr:cNvSpPr/>
      </xdr:nvSpPr>
      <xdr:spPr>
        <a:xfrm>
          <a:off x="5623560" y="960120"/>
          <a:ext cx="2181600" cy="3060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PREENCHIMENTO POR EVENTOS</a:t>
          </a:r>
          <a:endParaRPr lang="pt-BR" sz="1100" b="0" u="none" strike="noStrike">
            <a:effectLst/>
            <a:uFillTx/>
            <a:latin typeface="Times New Roman"/>
          </a:endParaRPr>
        </a:p>
      </xdr:txBody>
    </xdr:sp>
    <xdr:clientData/>
  </xdr:twoCellAnchor>
  <xdr:twoCellAnchor editAs="twoCell">
    <xdr:from>
      <xdr:col>8</xdr:col>
      <xdr:colOff>14400</xdr:colOff>
      <xdr:row>8</xdr:row>
      <xdr:rowOff>93240</xdr:rowOff>
    </xdr:from>
    <xdr:to>
      <xdr:col>10</xdr:col>
      <xdr:colOff>16920</xdr:colOff>
      <xdr:row>10</xdr:row>
      <xdr:rowOff>75600</xdr:rowOff>
    </xdr:to>
    <xdr:sp macro="[0]!CRONO.AtualizarLinhas">
      <xdr:nvSpPr>
        <xdr:cNvPr id="54" name="AutoShape 67"/>
        <xdr:cNvSpPr/>
      </xdr:nvSpPr>
      <xdr:spPr>
        <a:xfrm>
          <a:off x="1151640" y="960120"/>
          <a:ext cx="1321560" cy="30600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ATUALIZAR LINHAS</a:t>
          </a:r>
          <a:endParaRPr lang="pt-BR" sz="1100" b="0" u="none" strike="noStrike">
            <a:effectLst/>
            <a:uFillTx/>
            <a:latin typeface="Times New Roman"/>
          </a:endParaRPr>
        </a:p>
      </xdr:txBody>
    </xdr:sp>
    <xdr:clientData/>
  </xdr:twoCellAnchor>
  <xdr:twoCellAnchor editAs="twoCell">
    <xdr:from>
      <xdr:col>25</xdr:col>
      <xdr:colOff>223200</xdr:colOff>
      <xdr:row>8</xdr:row>
      <xdr:rowOff>93240</xdr:rowOff>
    </xdr:from>
    <xdr:to>
      <xdr:col>27</xdr:col>
      <xdr:colOff>483840</xdr:colOff>
      <xdr:row>10</xdr:row>
      <xdr:rowOff>75600</xdr:rowOff>
    </xdr:to>
    <xdr:sp macro="[0]!incluirpag">
      <xdr:nvSpPr>
        <xdr:cNvPr id="55" name="AutoShape 67"/>
        <xdr:cNvSpPr/>
      </xdr:nvSpPr>
      <xdr:spPr>
        <a:xfrm>
          <a:off x="9656640" y="960120"/>
          <a:ext cx="1811520" cy="30600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ADICIONAR 12 PARCELAS</a:t>
          </a:r>
          <a:endParaRPr lang="pt-BR" sz="1100" b="0" u="none" strike="noStrike">
            <a:effectLst/>
            <a:uFillTx/>
            <a:latin typeface="Times New Roman"/>
          </a:endParaRPr>
        </a:p>
      </xdr:txBody>
    </xdr:sp>
    <xdr:clientData/>
  </xdr:twoCellAnchor>
  <xdr:twoCellAnchor editAs="twoCell">
    <xdr:from>
      <xdr:col>27</xdr:col>
      <xdr:colOff>604440</xdr:colOff>
      <xdr:row>8</xdr:row>
      <xdr:rowOff>93240</xdr:rowOff>
    </xdr:from>
    <xdr:to>
      <xdr:col>29</xdr:col>
      <xdr:colOff>685080</xdr:colOff>
      <xdr:row>10</xdr:row>
      <xdr:rowOff>75600</xdr:rowOff>
    </xdr:to>
    <xdr:sp macro="[0]!excluirpag">
      <xdr:nvSpPr>
        <xdr:cNvPr id="56" name="AutoShape 67"/>
        <xdr:cNvSpPr/>
      </xdr:nvSpPr>
      <xdr:spPr>
        <a:xfrm>
          <a:off x="11588760" y="960120"/>
          <a:ext cx="1631160" cy="30600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EXCLUIR 12 PARCELAS</a:t>
          </a:r>
          <a:endParaRPr lang="pt-BR" sz="1100" b="0" u="none" strike="noStrike">
            <a:effectLst/>
            <a:uFillTx/>
            <a:latin typeface="Times New Roman"/>
          </a:endParaRPr>
        </a:p>
      </xdr:txBody>
    </xdr:sp>
    <xdr:clientData/>
  </xdr:twoCellAnchor>
  <xdr:twoCellAnchor editAs="twoCell">
    <xdr:from>
      <xdr:col>8</xdr:col>
      <xdr:colOff>0</xdr:colOff>
      <xdr:row>3</xdr:row>
      <xdr:rowOff>21240</xdr:rowOff>
    </xdr:from>
    <xdr:to>
      <xdr:col>10</xdr:col>
      <xdr:colOff>371880</xdr:colOff>
      <xdr:row>5</xdr:row>
      <xdr:rowOff>25200</xdr:rowOff>
    </xdr:to>
    <xdr:pic>
      <xdr:nvPicPr>
        <xdr:cNvPr id="57" name="Picture 2"/>
        <xdr:cNvPicPr/>
      </xdr:nvPicPr>
      <xdr:blipFill>
        <a:blip r:embed="rId2"/>
        <a:stretch/>
      </xdr:blipFill>
      <xdr:spPr>
        <a:xfrm>
          <a:off x="1137240" y="21240"/>
          <a:ext cx="1690920" cy="384840"/>
        </a:xfrm>
        <a:prstGeom prst="rect">
          <a:avLst/>
        </a:prstGeom>
        <a:noFill/>
        <a:ln w="0">
          <a:noFill/>
        </a:ln>
      </xdr:spPr>
    </xdr:pic>
    <xdr:clientData/>
  </xdr:twoCellAnchor>
  <xdr:twoCellAnchor editAs="twoCell">
    <xdr:from>
      <xdr:col>23</xdr:col>
      <xdr:colOff>714240</xdr:colOff>
      <xdr:row>8</xdr:row>
      <xdr:rowOff>93240</xdr:rowOff>
    </xdr:from>
    <xdr:to>
      <xdr:col>24</xdr:col>
      <xdr:colOff>567360</xdr:colOff>
      <xdr:row>10</xdr:row>
      <xdr:rowOff>64440</xdr:rowOff>
    </xdr:to>
    <xdr:sp>
      <xdr:nvSpPr>
        <xdr:cNvPr id="58" name="AutoShape 67">
          <a:hlinkClick r:id="rId3"/>
        </xdr:cNvPr>
        <xdr:cNvSpPr/>
      </xdr:nvSpPr>
      <xdr:spPr>
        <a:xfrm>
          <a:off x="8597160" y="960120"/>
          <a:ext cx="628560" cy="2948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QCI</a:t>
          </a:r>
          <a:endParaRPr lang="pt-BR" sz="1100" b="0" u="none" strike="noStrike">
            <a:effectLst/>
            <a:uFillTx/>
            <a:latin typeface="Times New Roman"/>
          </a:endParaRPr>
        </a:p>
      </xdr:txBody>
    </xdr:sp>
    <xdr:clientData/>
  </xdr:twoCellAnchor>
  <xdr:twoCellAnchor editAs="twoCell">
    <xdr:from>
      <xdr:col>23</xdr:col>
      <xdr:colOff>47520</xdr:colOff>
      <xdr:row>8</xdr:row>
      <xdr:rowOff>93240</xdr:rowOff>
    </xdr:from>
    <xdr:to>
      <xdr:col>23</xdr:col>
      <xdr:colOff>633960</xdr:colOff>
      <xdr:row>10</xdr:row>
      <xdr:rowOff>64440</xdr:rowOff>
    </xdr:to>
    <xdr:sp>
      <xdr:nvSpPr>
        <xdr:cNvPr id="59" name="AutoShape 67">
          <a:hlinkClick r:id="rId4"/>
        </xdr:cNvPr>
        <xdr:cNvSpPr/>
      </xdr:nvSpPr>
      <xdr:spPr>
        <a:xfrm>
          <a:off x="7930440" y="960120"/>
          <a:ext cx="586440" cy="2948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PO</a:t>
          </a:r>
          <a:endParaRPr lang="pt-BR" sz="1100" b="0" u="none" strike="noStrike">
            <a:effectLst/>
            <a:uFillTx/>
            <a:latin typeface="Times New Roman"/>
          </a:endParaRPr>
        </a:p>
      </xdr:txBody>
    </xdr:sp>
    <xdr:clientData/>
  </xdr:twoCellAnchor>
</xdr:wsDr>
</file>

<file path=xl/drawings/drawing17.xml><?xml version="1.0" encoding="utf-8"?>
<xdr:wsDr xmlns:xdr="http://schemas.openxmlformats.org/drawingml/2006/spreadsheetDrawing" xmlns:a="http://schemas.openxmlformats.org/drawingml/2006/main" xmlns:r="http://schemas.openxmlformats.org/officeDocument/2006/relationships">
  <xdr:twoCellAnchor editAs="twoCell">
    <xdr:from>
      <xdr:col>13</xdr:col>
      <xdr:colOff>116280</xdr:colOff>
      <xdr:row>7</xdr:row>
      <xdr:rowOff>141120</xdr:rowOff>
    </xdr:from>
    <xdr:to>
      <xdr:col>15</xdr:col>
      <xdr:colOff>2520</xdr:colOff>
      <xdr:row>10</xdr:row>
      <xdr:rowOff>147960</xdr:rowOff>
    </xdr:to>
    <xdr:sp fLocksText="0">
      <xdr:nvSpPr>
        <xdr:cNvPr id="60" name="AutoShape 317"/>
        <xdr:cNvSpPr/>
      </xdr:nvSpPr>
      <xdr:spPr>
        <a:xfrm>
          <a:off x="12679920" y="1388880"/>
          <a:ext cx="2221560" cy="492480"/>
        </a:xfrm>
        <a:prstGeom prst="wedgeRectCallout">
          <a:avLst>
            <a:gd name="adj1" fmla="val 121111"/>
            <a:gd name="adj2" fmla="val 52440"/>
          </a:avLst>
        </a:prstGeom>
        <a:solidFill>
          <a:srgbClr val="FFFF99"/>
        </a:solidFill>
        <a:ln w="9360">
          <a:solidFill>
            <a:srgbClr val="000000"/>
          </a:solidFill>
          <a:miter/>
        </a:ln>
      </xdr:spPr>
      <xdr:style>
        <a:lnRef idx="0"/>
        <a:fillRef idx="0"/>
        <a:effectRef idx="0"/>
        <a:fontRef idx="minor"/>
      </xdr:style>
      <xdr:txBody>
        <a:bodyPr vertOverflow="clip" lIns="27360" tIns="22680" rIns="0" bIns="0" anchor="t">
          <a:noAutofit/>
        </a:bodyPr>
        <a:p>
          <a:pPr>
            <a:lnSpc>
              <a:spcPct val="100000"/>
            </a:lnSpc>
          </a:pPr>
          <a:r>
            <a:rPr lang="pt-BR" sz="1000" b="1" u="none" strike="noStrike">
              <a:solidFill>
                <a:srgbClr val="000000"/>
              </a:solidFill>
              <a:effectLst/>
              <a:uFillTx/>
              <a:latin typeface="Arial"/>
            </a:rPr>
            <a:t>Para inclusão de metas de outras Plan. Mult., digite a descrição e valores manualmente ao lado.</a:t>
          </a:r>
          <a:endParaRPr lang="pt-BR" sz="1000" b="0" u="none" strike="noStrike">
            <a:effectLst/>
            <a:uFillTx/>
            <a:latin typeface="Times New Roman"/>
          </a:endParaRPr>
        </a:p>
      </xdr:txBody>
    </xdr:sp>
    <xdr:clientData/>
  </xdr:twoCellAnchor>
  <xdr:twoCellAnchor editAs="twoCell">
    <xdr:from>
      <xdr:col>3</xdr:col>
      <xdr:colOff>38160</xdr:colOff>
      <xdr:row>8</xdr:row>
      <xdr:rowOff>9360</xdr:rowOff>
    </xdr:from>
    <xdr:to>
      <xdr:col>4</xdr:col>
      <xdr:colOff>57960</xdr:colOff>
      <xdr:row>9</xdr:row>
      <xdr:rowOff>162000</xdr:rowOff>
    </xdr:to>
    <xdr:sp>
      <xdr:nvSpPr>
        <xdr:cNvPr id="61" name="AutoShape 67">
          <a:hlinkClick r:id="rId1"/>
        </xdr:cNvPr>
        <xdr:cNvSpPr/>
      </xdr:nvSpPr>
      <xdr:spPr>
        <a:xfrm>
          <a:off x="289800" y="1419120"/>
          <a:ext cx="482400" cy="3146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4</xdr:col>
      <xdr:colOff>710280</xdr:colOff>
      <xdr:row>8</xdr:row>
      <xdr:rowOff>11520</xdr:rowOff>
    </xdr:from>
    <xdr:to>
      <xdr:col>5</xdr:col>
      <xdr:colOff>722160</xdr:colOff>
      <xdr:row>10</xdr:row>
      <xdr:rowOff>9360</xdr:rowOff>
    </xdr:to>
    <xdr:sp macro="[0]!Linhas.AddLinha">
      <xdr:nvSpPr>
        <xdr:cNvPr id="62" name="AutoShape 67"/>
        <xdr:cNvSpPr/>
      </xdr:nvSpPr>
      <xdr:spPr>
        <a:xfrm>
          <a:off x="1424520" y="1421280"/>
          <a:ext cx="1320840" cy="3214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ADICIONAR LINHAS</a:t>
          </a:r>
          <a:endParaRPr lang="pt-BR" sz="1100" b="0" u="none" strike="noStrike">
            <a:effectLst/>
            <a:uFillTx/>
            <a:latin typeface="Times New Roman"/>
          </a:endParaRPr>
        </a:p>
      </xdr:txBody>
    </xdr:sp>
    <xdr:clientData/>
  </xdr:twoCellAnchor>
  <xdr:twoCellAnchor editAs="twoCell">
    <xdr:from>
      <xdr:col>5</xdr:col>
      <xdr:colOff>777240</xdr:colOff>
      <xdr:row>8</xdr:row>
      <xdr:rowOff>9360</xdr:rowOff>
    </xdr:from>
    <xdr:to>
      <xdr:col>5</xdr:col>
      <xdr:colOff>1892880</xdr:colOff>
      <xdr:row>9</xdr:row>
      <xdr:rowOff>162000</xdr:rowOff>
    </xdr:to>
    <xdr:sp macro="[0]!Linhas.ExcLinhas">
      <xdr:nvSpPr>
        <xdr:cNvPr id="63" name="AutoShape 67"/>
        <xdr:cNvSpPr/>
      </xdr:nvSpPr>
      <xdr:spPr>
        <a:xfrm>
          <a:off x="2800440" y="1419120"/>
          <a:ext cx="1115640" cy="31464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EXCLUIR LINHAS</a:t>
          </a:r>
          <a:endParaRPr lang="pt-BR" sz="1100" b="0" u="none" strike="noStrike">
            <a:effectLst/>
            <a:uFillTx/>
            <a:latin typeface="Times New Roman"/>
          </a:endParaRPr>
        </a:p>
      </xdr:txBody>
    </xdr:sp>
    <xdr:clientData/>
  </xdr:twoCellAnchor>
  <xdr:twoCellAnchor editAs="twoCell">
    <xdr:from>
      <xdr:col>7</xdr:col>
      <xdr:colOff>904320</xdr:colOff>
      <xdr:row>8</xdr:row>
      <xdr:rowOff>9360</xdr:rowOff>
    </xdr:from>
    <xdr:to>
      <xdr:col>9</xdr:col>
      <xdr:colOff>485640</xdr:colOff>
      <xdr:row>10</xdr:row>
      <xdr:rowOff>2520</xdr:rowOff>
    </xdr:to>
    <xdr:sp macro="[0]!cpQCItoCR">
      <xdr:nvSpPr>
        <xdr:cNvPr id="64" name="AutoShape 67"/>
        <xdr:cNvSpPr/>
      </xdr:nvSpPr>
      <xdr:spPr>
        <a:xfrm>
          <a:off x="7448040" y="1419120"/>
          <a:ext cx="1564560" cy="31680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CP QCI = CP CONTRATO</a:t>
          </a:r>
          <a:endParaRPr lang="pt-BR" sz="1100" b="0" u="none" strike="noStrike">
            <a:effectLst/>
            <a:uFillTx/>
            <a:latin typeface="Times New Roman"/>
          </a:endParaRPr>
        </a:p>
      </xdr:txBody>
    </xdr:sp>
    <xdr:clientData/>
  </xdr:twoCellAnchor>
  <xdr:twoCellAnchor editAs="twoCell">
    <xdr:from>
      <xdr:col>3</xdr:col>
      <xdr:colOff>0</xdr:colOff>
      <xdr:row>0</xdr:row>
      <xdr:rowOff>21240</xdr:rowOff>
    </xdr:from>
    <xdr:to>
      <xdr:col>5</xdr:col>
      <xdr:colOff>128160</xdr:colOff>
      <xdr:row>1</xdr:row>
      <xdr:rowOff>25200</xdr:rowOff>
    </xdr:to>
    <xdr:pic>
      <xdr:nvPicPr>
        <xdr:cNvPr id="65" name="Picture 2"/>
        <xdr:cNvPicPr/>
      </xdr:nvPicPr>
      <xdr:blipFill>
        <a:blip r:embed="rId2"/>
        <a:stretch/>
      </xdr:blipFill>
      <xdr:spPr>
        <a:xfrm>
          <a:off x="251640" y="21240"/>
          <a:ext cx="1899720" cy="384840"/>
        </a:xfrm>
        <a:prstGeom prst="rect">
          <a:avLst/>
        </a:prstGeom>
        <a:noFill/>
        <a:ln w="0">
          <a:noFill/>
        </a:ln>
      </xdr:spPr>
    </xdr:pic>
    <xdr:clientData/>
  </xdr:twoCellAnchor>
  <xdr:twoCellAnchor editAs="twoCell">
    <xdr:from>
      <xdr:col>4</xdr:col>
      <xdr:colOff>104760</xdr:colOff>
      <xdr:row>8</xdr:row>
      <xdr:rowOff>9360</xdr:rowOff>
    </xdr:from>
    <xdr:to>
      <xdr:col>4</xdr:col>
      <xdr:colOff>644400</xdr:colOff>
      <xdr:row>9</xdr:row>
      <xdr:rowOff>162000</xdr:rowOff>
    </xdr:to>
    <xdr:sp>
      <xdr:nvSpPr>
        <xdr:cNvPr id="66" name="AutoShape 67">
          <a:hlinkClick r:id="rId3"/>
        </xdr:cNvPr>
        <xdr:cNvSpPr/>
      </xdr:nvSpPr>
      <xdr:spPr>
        <a:xfrm>
          <a:off x="819000" y="1419120"/>
          <a:ext cx="539640" cy="3146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DADOS</a:t>
          </a:r>
          <a:endParaRPr lang="pt-BR" sz="1100" b="0" u="none" strike="noStrike">
            <a:effectLst/>
            <a:uFillTx/>
            <a:latin typeface="Times New Roman"/>
          </a:endParaRPr>
        </a:p>
      </xdr:txBody>
    </xdr:sp>
    <xdr:clientData/>
  </xdr:twoCellAnchor>
</xdr:wsDr>
</file>

<file path=xl/drawings/drawing18.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7</xdr:row>
      <xdr:rowOff>42480</xdr:rowOff>
    </xdr:from>
    <xdr:to>
      <xdr:col>2</xdr:col>
      <xdr:colOff>28080</xdr:colOff>
      <xdr:row>9</xdr:row>
      <xdr:rowOff>4320</xdr:rowOff>
    </xdr:to>
    <xdr:sp>
      <xdr:nvSpPr>
        <xdr:cNvPr id="67" name="AutoShape 67">
          <a:hlinkClick r:id="rId1"/>
        </xdr:cNvPr>
        <xdr:cNvSpPr/>
      </xdr:nvSpPr>
      <xdr:spPr>
        <a:xfrm>
          <a:off x="251640" y="909360"/>
          <a:ext cx="601920" cy="314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1</xdr:col>
      <xdr:colOff>0</xdr:colOff>
      <xdr:row>9</xdr:row>
      <xdr:rowOff>19080</xdr:rowOff>
    </xdr:from>
    <xdr:to>
      <xdr:col>2</xdr:col>
      <xdr:colOff>31320</xdr:colOff>
      <xdr:row>10</xdr:row>
      <xdr:rowOff>159480</xdr:rowOff>
    </xdr:to>
    <xdr:sp>
      <xdr:nvSpPr>
        <xdr:cNvPr id="68" name="AutoShape 67">
          <a:hlinkClick r:id="rId2"/>
        </xdr:cNvPr>
        <xdr:cNvSpPr/>
      </xdr:nvSpPr>
      <xdr:spPr>
        <a:xfrm>
          <a:off x="251640" y="1238400"/>
          <a:ext cx="605160" cy="3020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PLQ</a:t>
          </a:r>
          <a:endParaRPr lang="pt-BR" sz="1100" b="0" u="none" strike="noStrike">
            <a:effectLst/>
            <a:uFillTx/>
            <a:latin typeface="Times New Roman"/>
          </a:endParaRPr>
        </a:p>
      </xdr:txBody>
    </xdr:sp>
    <xdr:clientData/>
  </xdr:twoCellAnchor>
  <xdr:twoCellAnchor editAs="twoCell">
    <xdr:from>
      <xdr:col>1</xdr:col>
      <xdr:colOff>0</xdr:colOff>
      <xdr:row>10</xdr:row>
      <xdr:rowOff>500760</xdr:rowOff>
    </xdr:from>
    <xdr:to>
      <xdr:col>2</xdr:col>
      <xdr:colOff>31320</xdr:colOff>
      <xdr:row>10</xdr:row>
      <xdr:rowOff>803160</xdr:rowOff>
    </xdr:to>
    <xdr:sp>
      <xdr:nvSpPr>
        <xdr:cNvPr id="69" name="AutoShape 67">
          <a:hlinkClick r:id="rId3"/>
        </xdr:cNvPr>
        <xdr:cNvSpPr/>
      </xdr:nvSpPr>
      <xdr:spPr>
        <a:xfrm>
          <a:off x="251640" y="1881720"/>
          <a:ext cx="605160" cy="3024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RRE</a:t>
          </a:r>
          <a:endParaRPr lang="pt-BR" sz="1100" b="0" u="none" strike="noStrike">
            <a:effectLst/>
            <a:uFillTx/>
            <a:latin typeface="Times New Roman"/>
          </a:endParaRPr>
        </a:p>
      </xdr:txBody>
    </xdr:sp>
    <xdr:clientData/>
  </xdr:twoCellAnchor>
  <xdr:twoCellAnchor editAs="twoCell">
    <xdr:from>
      <xdr:col>1</xdr:col>
      <xdr:colOff>0</xdr:colOff>
      <xdr:row>2</xdr:row>
      <xdr:rowOff>21240</xdr:rowOff>
    </xdr:from>
    <xdr:to>
      <xdr:col>3</xdr:col>
      <xdr:colOff>149400</xdr:colOff>
      <xdr:row>4</xdr:row>
      <xdr:rowOff>3960</xdr:rowOff>
    </xdr:to>
    <xdr:pic>
      <xdr:nvPicPr>
        <xdr:cNvPr id="70" name="Picture 2"/>
        <xdr:cNvPicPr/>
      </xdr:nvPicPr>
      <xdr:blipFill>
        <a:blip r:embed="rId4"/>
        <a:stretch/>
      </xdr:blipFill>
      <xdr:spPr>
        <a:xfrm>
          <a:off x="251640" y="21240"/>
          <a:ext cx="1921680" cy="363600"/>
        </a:xfrm>
        <a:prstGeom prst="rect">
          <a:avLst/>
        </a:prstGeom>
        <a:noFill/>
        <a:ln w="0">
          <a:noFill/>
        </a:ln>
      </xdr:spPr>
    </xdr:pic>
    <xdr:clientData/>
  </xdr:twoCellAnchor>
  <xdr:twoCellAnchor editAs="twoCell">
    <xdr:from>
      <xdr:col>1</xdr:col>
      <xdr:colOff>0</xdr:colOff>
      <xdr:row>10</xdr:row>
      <xdr:rowOff>181080</xdr:rowOff>
    </xdr:from>
    <xdr:to>
      <xdr:col>2</xdr:col>
      <xdr:colOff>31320</xdr:colOff>
      <xdr:row>10</xdr:row>
      <xdr:rowOff>483480</xdr:rowOff>
    </xdr:to>
    <xdr:sp>
      <xdr:nvSpPr>
        <xdr:cNvPr id="71" name="AutoShape 67">
          <a:hlinkClick r:id="rId5"/>
        </xdr:cNvPr>
        <xdr:cNvSpPr/>
      </xdr:nvSpPr>
      <xdr:spPr>
        <a:xfrm>
          <a:off x="251640" y="1562040"/>
          <a:ext cx="605160" cy="3024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CRONO</a:t>
          </a:r>
          <a:endParaRPr lang="pt-BR" sz="1100" b="0" u="none" strike="noStrike">
            <a:effectLst/>
            <a:uFillTx/>
            <a:latin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3</xdr:col>
          <xdr:colOff>3805560</xdr:colOff>
          <xdr:row>4</xdr:row>
          <xdr:rowOff>85680</xdr:rowOff>
        </xdr:from>
        <xdr:to>
          <xdr:col>4</xdr:col>
          <xdr:colOff>-5178600</xdr:colOff>
          <xdr:row>5</xdr:row>
          <xdr:rowOff>46440</xdr:rowOff>
        </xdr:to>
        <xdr:sp>
          <xdr:nvSpPr>
            <xdr:cNvPr id="0" name="Botão de rotação 275" descr="" hidden="0"/>
            <xdr:cNvSpPr/>
          </xdr:nvSpPr>
          <xdr:spPr>
            <a:xfrm>
              <a:off x="0" y="0"/>
              <a:ext cx="0" cy="0"/>
            </a:xfrm>
            <a:prstGeom prst="rect">
              <a:avLst/>
            </a:prstGeom>
          </xdr:spPr>
          <xdr:txBody>
            <a:bodyPr anchor="ctr">
              <a:noAutofit/>
            </a:bodyPr>
            <a:p>
              <a:r>
                <a:t/>
              </a:r>
            </a:p>
          </xdr:txBody>
        </xdr:sp>
        <xdr:clientData/>
      </xdr:twoCellAnchor>
    </mc:Choice>
  </mc:AlternateContent>
</xdr:wsDr>
</file>

<file path=xl/drawings/drawing19.xml><?xml version="1.0" encoding="utf-8"?>
<xdr:wsDr xmlns:xdr="http://schemas.openxmlformats.org/drawingml/2006/spreadsheetDrawing" xmlns:a="http://schemas.openxmlformats.org/drawingml/2006/main" xmlns:r="http://schemas.openxmlformats.org/officeDocument/2006/relationships">
  <xdr:twoCellAnchor editAs="twoCell">
    <xdr:from>
      <xdr:col>8</xdr:col>
      <xdr:colOff>1276200</xdr:colOff>
      <xdr:row>8</xdr:row>
      <xdr:rowOff>57240</xdr:rowOff>
    </xdr:from>
    <xdr:to>
      <xdr:col>12</xdr:col>
      <xdr:colOff>445320</xdr:colOff>
      <xdr:row>10</xdr:row>
      <xdr:rowOff>85320</xdr:rowOff>
    </xdr:to>
    <xdr:sp fLocksText="0">
      <xdr:nvSpPr>
        <xdr:cNvPr id="72" name="TextBoxArred"/>
        <xdr:cNvSpPr/>
      </xdr:nvSpPr>
      <xdr:spPr>
        <a:xfrm flipH="1">
          <a:off x="9269640" y="1305000"/>
          <a:ext cx="2923920" cy="352080"/>
        </a:xfrm>
        <a:prstGeom prst="rect">
          <a:avLst/>
        </a:prstGeom>
        <a:noFill/>
        <a:ln w="6480">
          <a:solidFill>
            <a:srgbClr val="000000"/>
          </a:solidFill>
          <a:miter/>
        </a:ln>
      </xdr:spPr>
      <xdr:style>
        <a:lnRef idx="0"/>
        <a:fillRef idx="0"/>
        <a:effectRef idx="0"/>
        <a:fontRef idx="minor"/>
      </xdr:style>
      <xdr:txBody>
        <a:bodyPr vertOverflow="clip" lIns="27360" tIns="22680" rIns="27360" bIns="0" anchor="t">
          <a:noAutofit/>
        </a:bodyPr>
        <a:p>
          <a:pPr algn="ctr">
            <a:lnSpc>
              <a:spcPct val="100000"/>
            </a:lnSpc>
          </a:pPr>
          <a:r>
            <a:rPr lang="pt-BR" sz="1000" b="0" u="none" strike="noStrike">
              <a:solidFill>
                <a:srgbClr val="000000"/>
              </a:solidFill>
              <a:effectLst/>
              <a:uFillTx/>
              <a:latin typeface="Arial"/>
            </a:rPr>
            <a:t>Considerar valores arredondados com (0,00)</a:t>
          </a:r>
          <a:endParaRPr lang="pt-BR" sz="1000" b="0" u="none" strike="noStrike">
            <a:effectLst/>
            <a:uFillTx/>
            <a:latin typeface="Times New Roman"/>
          </a:endParaRPr>
        </a:p>
      </xdr:txBody>
    </xdr:sp>
    <xdr:clientData/>
  </xdr:twoCellAnchor>
  <xdr:twoCellAnchor editAs="twoCell">
    <xdr:from>
      <xdr:col>3</xdr:col>
      <xdr:colOff>95400</xdr:colOff>
      <xdr:row>8</xdr:row>
      <xdr:rowOff>114480</xdr:rowOff>
    </xdr:from>
    <xdr:to>
      <xdr:col>3</xdr:col>
      <xdr:colOff>681840</xdr:colOff>
      <xdr:row>10</xdr:row>
      <xdr:rowOff>104760</xdr:rowOff>
    </xdr:to>
    <xdr:sp>
      <xdr:nvSpPr>
        <xdr:cNvPr id="73" name="AutoShape 67">
          <a:hlinkClick r:id="rId1"/>
        </xdr:cNvPr>
        <xdr:cNvSpPr/>
      </xdr:nvSpPr>
      <xdr:spPr>
        <a:xfrm>
          <a:off x="347040" y="1362240"/>
          <a:ext cx="586440" cy="314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4</xdr:col>
      <xdr:colOff>2213640</xdr:colOff>
      <xdr:row>8</xdr:row>
      <xdr:rowOff>112320</xdr:rowOff>
    </xdr:from>
    <xdr:to>
      <xdr:col>4</xdr:col>
      <xdr:colOff>4095360</xdr:colOff>
      <xdr:row>10</xdr:row>
      <xdr:rowOff>95040</xdr:rowOff>
    </xdr:to>
    <xdr:sp macro="[0]!BM.alternaModo">
      <xdr:nvSpPr>
        <xdr:cNvPr id="74" name="ShapeModoBM"/>
        <xdr:cNvSpPr/>
      </xdr:nvSpPr>
      <xdr:spPr>
        <a:xfrm>
          <a:off x="3210120" y="1360080"/>
          <a:ext cx="1881720" cy="3067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Habilitar Modo CAIXA</a:t>
          </a:r>
          <a:endParaRPr lang="pt-BR" sz="1100" b="0" u="none" strike="noStrike">
            <a:effectLst/>
            <a:uFillTx/>
            <a:latin typeface="Times New Roman"/>
          </a:endParaRPr>
        </a:p>
      </xdr:txBody>
    </xdr:sp>
    <xdr:clientData/>
  </xdr:twoCellAnchor>
  <xdr:twoCellAnchor editAs="twoCell">
    <xdr:from>
      <xdr:col>15</xdr:col>
      <xdr:colOff>609840</xdr:colOff>
      <xdr:row>6</xdr:row>
      <xdr:rowOff>42480</xdr:rowOff>
    </xdr:from>
    <xdr:to>
      <xdr:col>15</xdr:col>
      <xdr:colOff>610200</xdr:colOff>
      <xdr:row>9</xdr:row>
      <xdr:rowOff>102600</xdr:rowOff>
    </xdr:to>
    <xdr:sp fLocksText="0" macro="[0]!CopiarMedição">
      <xdr:nvSpPr>
        <xdr:cNvPr id="75" name="ShapeCopiarMed"/>
        <xdr:cNvSpPr/>
      </xdr:nvSpPr>
      <xdr:spPr>
        <a:xfrm>
          <a:off x="16284240" y="966240"/>
          <a:ext cx="360" cy="5461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Copiar da Medição</a:t>
          </a:r>
          <a:endParaRPr lang="pt-BR" sz="1100" b="0" u="none" strike="noStrike">
            <a:effectLst/>
            <a:uFillTx/>
            <a:latin typeface="Times New Roman"/>
          </a:endParaRPr>
        </a:p>
      </xdr:txBody>
    </xdr:sp>
    <xdr:clientData/>
  </xdr:twoCellAnchor>
  <xdr:twoCellAnchor editAs="twoCell">
    <xdr:from>
      <xdr:col>4</xdr:col>
      <xdr:colOff>806400</xdr:colOff>
      <xdr:row>8</xdr:row>
      <xdr:rowOff>116280</xdr:rowOff>
    </xdr:from>
    <xdr:to>
      <xdr:col>4</xdr:col>
      <xdr:colOff>1392840</xdr:colOff>
      <xdr:row>10</xdr:row>
      <xdr:rowOff>101160</xdr:rowOff>
    </xdr:to>
    <xdr:sp>
      <xdr:nvSpPr>
        <xdr:cNvPr id="76" name="AutoShape 67">
          <a:hlinkClick r:id="rId2"/>
        </xdr:cNvPr>
        <xdr:cNvSpPr/>
      </xdr:nvSpPr>
      <xdr:spPr>
        <a:xfrm>
          <a:off x="1802880" y="1364040"/>
          <a:ext cx="58644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CFF</a:t>
          </a:r>
          <a:endParaRPr lang="pt-BR" sz="1100" b="0" u="none" strike="noStrike">
            <a:effectLst/>
            <a:uFillTx/>
            <a:latin typeface="Times New Roman"/>
          </a:endParaRPr>
        </a:p>
      </xdr:txBody>
    </xdr:sp>
    <xdr:clientData/>
  </xdr:twoCellAnchor>
  <xdr:twoCellAnchor editAs="twoCell">
    <xdr:from>
      <xdr:col>3</xdr:col>
      <xdr:colOff>0</xdr:colOff>
      <xdr:row>0</xdr:row>
      <xdr:rowOff>21240</xdr:rowOff>
    </xdr:from>
    <xdr:to>
      <xdr:col>4</xdr:col>
      <xdr:colOff>1101960</xdr:colOff>
      <xdr:row>2</xdr:row>
      <xdr:rowOff>14400</xdr:rowOff>
    </xdr:to>
    <xdr:pic>
      <xdr:nvPicPr>
        <xdr:cNvPr id="77" name="Picture 2"/>
        <xdr:cNvPicPr/>
      </xdr:nvPicPr>
      <xdr:blipFill>
        <a:blip r:embed="rId3"/>
        <a:stretch/>
      </xdr:blipFill>
      <xdr:spPr>
        <a:xfrm>
          <a:off x="251640" y="21240"/>
          <a:ext cx="1846800" cy="374040"/>
        </a:xfrm>
        <a:prstGeom prst="rect">
          <a:avLst/>
        </a:prstGeom>
        <a:noFill/>
        <a:ln w="0">
          <a:noFill/>
        </a:ln>
      </xdr:spPr>
    </xdr:pic>
    <xdr:clientData/>
  </xdr:twoCellAnchor>
  <xdr:twoCellAnchor editAs="twoCell">
    <xdr:from>
      <xdr:col>4</xdr:col>
      <xdr:colOff>1512360</xdr:colOff>
      <xdr:row>8</xdr:row>
      <xdr:rowOff>116280</xdr:rowOff>
    </xdr:from>
    <xdr:to>
      <xdr:col>4</xdr:col>
      <xdr:colOff>2098800</xdr:colOff>
      <xdr:row>10</xdr:row>
      <xdr:rowOff>101160</xdr:rowOff>
    </xdr:to>
    <xdr:sp>
      <xdr:nvSpPr>
        <xdr:cNvPr id="78" name="AutoShape 67">
          <a:hlinkClick r:id="rId4"/>
        </xdr:cNvPr>
        <xdr:cNvSpPr/>
      </xdr:nvSpPr>
      <xdr:spPr>
        <a:xfrm>
          <a:off x="2508840" y="1364040"/>
          <a:ext cx="58644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RRE</a:t>
          </a:r>
          <a:endParaRPr lang="pt-BR" sz="1100" b="0" u="none" strike="noStrike">
            <a:effectLst/>
            <a:uFillTx/>
            <a:latin typeface="Times New Roman"/>
          </a:endParaRPr>
        </a:p>
      </xdr:txBody>
    </xdr:sp>
    <xdr:clientData/>
  </xdr:twoCellAnchor>
  <xdr:twoCellAnchor editAs="twoCell">
    <xdr:from>
      <xdr:col>4</xdr:col>
      <xdr:colOff>104760</xdr:colOff>
      <xdr:row>8</xdr:row>
      <xdr:rowOff>114480</xdr:rowOff>
    </xdr:from>
    <xdr:to>
      <xdr:col>4</xdr:col>
      <xdr:colOff>691200</xdr:colOff>
      <xdr:row>10</xdr:row>
      <xdr:rowOff>104760</xdr:rowOff>
    </xdr:to>
    <xdr:sp>
      <xdr:nvSpPr>
        <xdr:cNvPr id="79" name="AutoShape 67">
          <a:hlinkClick r:id="rId5"/>
        </xdr:cNvPr>
        <xdr:cNvSpPr/>
      </xdr:nvSpPr>
      <xdr:spPr>
        <a:xfrm>
          <a:off x="1101240" y="1362240"/>
          <a:ext cx="586440" cy="314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DADOS</a:t>
          </a:r>
          <a:endParaRPr lang="pt-BR" sz="1100" b="0" u="none" strike="noStrike">
            <a:effectLst/>
            <a:uFillTx/>
            <a:latin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3</xdr:col>
          <xdr:colOff>9088560</xdr:colOff>
          <xdr:row>6</xdr:row>
          <xdr:rowOff>64080</xdr:rowOff>
        </xdr:from>
        <xdr:to>
          <xdr:col>4</xdr:col>
          <xdr:colOff>190440</xdr:colOff>
          <xdr:row>7</xdr:row>
          <xdr:rowOff>117360</xdr:rowOff>
        </xdr:to>
        <xdr:sp>
          <xdr:nvSpPr>
            <xdr:cNvPr id="1001" name="CaixaArredMed"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15</xdr:col>
          <xdr:colOff>28440</xdr:colOff>
          <xdr:row>6</xdr:row>
          <xdr:rowOff>123840</xdr:rowOff>
        </xdr:from>
        <xdr:to>
          <xdr:col>16</xdr:col>
          <xdr:colOff>-344880</xdr:colOff>
          <xdr:row>7</xdr:row>
          <xdr:rowOff>162000</xdr:rowOff>
        </xdr:to>
        <xdr:sp>
          <xdr:nvSpPr>
            <xdr:cNvPr id="0" name="Botão de rotação 23" descr="" hidden="0"/>
            <xdr:cNvSpPr/>
          </xdr:nvSpPr>
          <xdr:spPr>
            <a:xfrm>
              <a:off x="0" y="0"/>
              <a:ext cx="0" cy="0"/>
            </a:xfrm>
            <a:prstGeom prst="rect">
              <a:avLst/>
            </a:prstGeom>
          </xdr:spPr>
          <xdr:txBody>
            <a:bodyPr anchor="ctr">
              <a:noAutofit/>
            </a:bodyPr>
            <a:p>
              <a:r>
                <a:t/>
              </a:r>
            </a:p>
          </xdr:txBody>
        </xdr:sp>
        <xdr:clientData/>
      </xdr:twoCellAnchor>
    </mc:Choice>
  </mc:AlternateContent>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xdr:row>
      <xdr:rowOff>0</xdr:rowOff>
    </xdr:from>
    <xdr:to>
      <xdr:col>2</xdr:col>
      <xdr:colOff>2087640</xdr:colOff>
      <xdr:row>2</xdr:row>
      <xdr:rowOff>258840</xdr:rowOff>
    </xdr:to>
    <xdr:pic>
      <xdr:nvPicPr>
        <xdr:cNvPr id="2" name="Imagem 23"/>
        <xdr:cNvPicPr/>
      </xdr:nvPicPr>
      <xdr:blipFill>
        <a:blip r:embed="rId1"/>
        <a:stretch/>
      </xdr:blipFill>
      <xdr:spPr>
        <a:xfrm>
          <a:off x="201240" y="190440"/>
          <a:ext cx="2480040" cy="544680"/>
        </a:xfrm>
        <a:prstGeom prst="rect">
          <a:avLst/>
        </a:prstGeom>
        <a:noFill/>
        <a:ln w="0">
          <a:noFill/>
        </a:ln>
      </xdr:spPr>
    </xdr:pic>
    <xdr:clientData/>
  </xdr:twoCellAnchor>
  <xdr:twoCellAnchor editAs="twoCell">
    <xdr:from>
      <xdr:col>9</xdr:col>
      <xdr:colOff>66600</xdr:colOff>
      <xdr:row>6</xdr:row>
      <xdr:rowOff>159840</xdr:rowOff>
    </xdr:from>
    <xdr:to>
      <xdr:col>9</xdr:col>
      <xdr:colOff>1201680</xdr:colOff>
      <xdr:row>9</xdr:row>
      <xdr:rowOff>37440</xdr:rowOff>
    </xdr:to>
    <xdr:sp macro="[0]!imprimirPROPOSTA">
      <xdr:nvSpPr>
        <xdr:cNvPr id="3" name="Bot.ImprimirProposta"/>
        <xdr:cNvSpPr/>
      </xdr:nvSpPr>
      <xdr:spPr>
        <a:xfrm>
          <a:off x="10194120" y="1607760"/>
          <a:ext cx="1135080" cy="46800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IMPRIMIR DOCUMENTOS</a:t>
          </a:r>
          <a:endParaRPr lang="pt-BR" sz="1100" b="0" u="none" strike="noStrike">
            <a:effectLst/>
            <a:uFillTx/>
            <a:latin typeface="Times New Roman"/>
          </a:endParaRPr>
        </a:p>
      </xdr:txBody>
    </xdr:sp>
    <xdr:clientData/>
  </xdr:twoCellAnchor>
  <xdr:twoCellAnchor editAs="twoCell">
    <xdr:from>
      <xdr:col>9</xdr:col>
      <xdr:colOff>66600</xdr:colOff>
      <xdr:row>14</xdr:row>
      <xdr:rowOff>160200</xdr:rowOff>
    </xdr:from>
    <xdr:to>
      <xdr:col>9</xdr:col>
      <xdr:colOff>1201680</xdr:colOff>
      <xdr:row>17</xdr:row>
      <xdr:rowOff>37800</xdr:rowOff>
    </xdr:to>
    <xdr:sp macro="[0]!imprimirLICITADO">
      <xdr:nvSpPr>
        <xdr:cNvPr id="4" name="Bot.ImprimirLicitacao"/>
        <xdr:cNvSpPr/>
      </xdr:nvSpPr>
      <xdr:spPr>
        <a:xfrm>
          <a:off x="10194120" y="3217680"/>
          <a:ext cx="1135080" cy="46836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IMPRIMIR DOCUMENTOS</a:t>
          </a:r>
          <a:endParaRPr lang="pt-BR" sz="1100" b="0" u="none" strike="noStrike">
            <a:effectLst/>
            <a:uFillTx/>
            <a:latin typeface="Times New Roman"/>
          </a:endParaRPr>
        </a:p>
      </xdr:txBody>
    </xdr:sp>
    <xdr:clientData/>
  </xdr:twoCellAnchor>
  <xdr:twoCellAnchor editAs="twoCell">
    <xdr:from>
      <xdr:col>9</xdr:col>
      <xdr:colOff>57240</xdr:colOff>
      <xdr:row>18</xdr:row>
      <xdr:rowOff>142920</xdr:rowOff>
    </xdr:from>
    <xdr:to>
      <xdr:col>9</xdr:col>
      <xdr:colOff>1192320</xdr:colOff>
      <xdr:row>21</xdr:row>
      <xdr:rowOff>28440</xdr:rowOff>
    </xdr:to>
    <xdr:sp macro="[0]!imprimirMedicao">
      <xdr:nvSpPr>
        <xdr:cNvPr id="5" name="Bot.ImprimirAcompanhamento"/>
        <xdr:cNvSpPr/>
      </xdr:nvSpPr>
      <xdr:spPr>
        <a:xfrm>
          <a:off x="10184760" y="4057560"/>
          <a:ext cx="1135080" cy="4762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IMPRIMIR DOCUMENTOS</a:t>
          </a:r>
          <a:endParaRPr lang="pt-BR" sz="1100" b="0" u="none" strike="noStrike">
            <a:effectLst/>
            <a:uFillTx/>
            <a:latin typeface="Times New Roman"/>
          </a:endParaRPr>
        </a:p>
      </xdr:txBody>
    </xdr:sp>
    <xdr:clientData/>
  </xdr:twoCellAnchor>
  <xdr:twoCellAnchor editAs="twoCell">
    <xdr:from>
      <xdr:col>9</xdr:col>
      <xdr:colOff>66600</xdr:colOff>
      <xdr:row>2</xdr:row>
      <xdr:rowOff>0</xdr:rowOff>
    </xdr:from>
    <xdr:to>
      <xdr:col>11</xdr:col>
      <xdr:colOff>219240</xdr:colOff>
      <xdr:row>5</xdr:row>
      <xdr:rowOff>66240</xdr:rowOff>
    </xdr:to>
    <xdr:sp macro="[0]!Importar_Verif">
      <xdr:nvSpPr>
        <xdr:cNvPr id="6" name="Bot.Importar"/>
        <xdr:cNvSpPr/>
      </xdr:nvSpPr>
      <xdr:spPr>
        <a:xfrm>
          <a:off x="10194120" y="476280"/>
          <a:ext cx="1703520" cy="7711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IMPORTAR DE OUTRA PLANILHA MÚLTIPLA</a:t>
          </a:r>
          <a:endParaRPr lang="pt-BR" sz="1100" b="0" u="none" strike="noStrike">
            <a:effectLst/>
            <a:uFillTx/>
            <a:latin typeface="Times New Roman"/>
          </a:endParaRPr>
        </a:p>
        <a:p>
          <a:pPr algn="ctr">
            <a:lnSpc>
              <a:spcPct val="100000"/>
            </a:lnSpc>
          </a:pPr>
          <a:r>
            <a:rPr lang="pt-BR" sz="1100" b="1" u="none" strike="noStrike">
              <a:solidFill>
                <a:srgbClr val="000000"/>
              </a:solidFill>
              <a:effectLst/>
              <a:uFillTx/>
              <a:latin typeface="Calibri"/>
            </a:rPr>
            <a:t>(A PARTIR DA VERSÃO 3)</a:t>
          </a:r>
          <a:endParaRPr lang="pt-BR" sz="1100" b="0" u="none" strike="noStrike">
            <a:effectLst/>
            <a:uFillTx/>
            <a:latin typeface="Times New Roman"/>
          </a:endParaRPr>
        </a:p>
      </xdr:txBody>
    </xdr:sp>
    <xdr:clientData/>
  </xdr:twoCellAnchor>
  <xdr:twoCellAnchor editAs="twoCell">
    <xdr:from>
      <xdr:col>11</xdr:col>
      <xdr:colOff>371520</xdr:colOff>
      <xdr:row>2</xdr:row>
      <xdr:rowOff>28440</xdr:rowOff>
    </xdr:from>
    <xdr:to>
      <xdr:col>13</xdr:col>
      <xdr:colOff>1168920</xdr:colOff>
      <xdr:row>5</xdr:row>
      <xdr:rowOff>89640</xdr:rowOff>
    </xdr:to>
    <xdr:sp macro="[0]!Importar_PO_PLE_QCI">
      <xdr:nvSpPr>
        <xdr:cNvPr id="7" name="Bot.Importar"/>
        <xdr:cNvSpPr/>
      </xdr:nvSpPr>
      <xdr:spPr>
        <a:xfrm>
          <a:off x="12049920" y="504720"/>
          <a:ext cx="1519200" cy="7660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IMPORTAR DE OUTROS MODELOS CAIXA</a:t>
          </a:r>
          <a:endParaRPr lang="pt-BR" sz="1100" b="0" u="none" strike="noStrike">
            <a:effectLst/>
            <a:uFillTx/>
            <a:latin typeface="Times New Roman"/>
          </a:endParaRPr>
        </a:p>
        <a:p>
          <a:pPr algn="ctr">
            <a:lnSpc>
              <a:spcPct val="100000"/>
            </a:lnSpc>
          </a:pPr>
          <a:r>
            <a:rPr lang="pt-BR" sz="1100" b="1" i="1" u="none" strike="noStrike">
              <a:solidFill>
                <a:srgbClr val="000000"/>
              </a:solidFill>
              <a:effectLst/>
              <a:uFillTx/>
              <a:latin typeface="Calibri"/>
            </a:rPr>
            <a:t>(PO / PLE / QCI)</a:t>
          </a:r>
          <a:endParaRPr lang="pt-BR" sz="1100" b="0" u="none" strike="noStrike">
            <a:effectLst/>
            <a:uFillTx/>
            <a:latin typeface="Times New Roman"/>
          </a:endParaRPr>
        </a:p>
      </xdr:txBody>
    </xdr:sp>
    <xdr:clientData/>
  </xdr:twoCellAnchor>
  <xdr:twoCellAnchor editAs="twoCell">
    <xdr:from>
      <xdr:col>9</xdr:col>
      <xdr:colOff>28440</xdr:colOff>
      <xdr:row>9</xdr:row>
      <xdr:rowOff>171360</xdr:rowOff>
    </xdr:from>
    <xdr:to>
      <xdr:col>9</xdr:col>
      <xdr:colOff>1246320</xdr:colOff>
      <xdr:row>13</xdr:row>
      <xdr:rowOff>59040</xdr:rowOff>
    </xdr:to>
    <xdr:sp macro="[0]!Verificar_Export_Tgov">
      <xdr:nvSpPr>
        <xdr:cNvPr id="8" name="Bot.ImprimirProposta"/>
        <xdr:cNvSpPr/>
      </xdr:nvSpPr>
      <xdr:spPr>
        <a:xfrm>
          <a:off x="10155960" y="2209680"/>
          <a:ext cx="1217880" cy="74484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GERAR ARQUIVO PARA UPLOAD NO TRANSFEREGOV</a:t>
          </a:r>
          <a:endParaRPr lang="pt-BR" sz="1100" b="0" u="none" strike="noStrike">
            <a:effectLst/>
            <a:uFillTx/>
            <a:latin typeface="Times New Roman"/>
          </a:endParaRPr>
        </a:p>
      </xdr:txBody>
    </xdr:sp>
    <xdr:clientData/>
  </xdr:twoCellAnchor>
  <xdr:twoCellAnchor editAs="twoCell">
    <xdr:from>
      <xdr:col>13</xdr:col>
      <xdr:colOff>1428840</xdr:colOff>
      <xdr:row>2</xdr:row>
      <xdr:rowOff>28440</xdr:rowOff>
    </xdr:from>
    <xdr:to>
      <xdr:col>13</xdr:col>
      <xdr:colOff>2563920</xdr:colOff>
      <xdr:row>4</xdr:row>
      <xdr:rowOff>10800</xdr:rowOff>
    </xdr:to>
    <xdr:sp macro="[0]!RESET_PM">
      <xdr:nvSpPr>
        <xdr:cNvPr id="9" name="Bot.ImprimirProposta"/>
        <xdr:cNvSpPr/>
      </xdr:nvSpPr>
      <xdr:spPr>
        <a:xfrm>
          <a:off x="13829040" y="504720"/>
          <a:ext cx="1135080" cy="4777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RESET</a:t>
          </a:r>
          <a:endParaRPr lang="pt-BR" sz="1100" b="0" u="none" strike="noStrike">
            <a:effectLst/>
            <a:uFillTx/>
            <a:latin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2</xdr:col>
          <xdr:colOff>1361880</xdr:colOff>
          <xdr:row>4</xdr:row>
          <xdr:rowOff>158760</xdr:rowOff>
        </xdr:from>
        <xdr:to>
          <xdr:col>3</xdr:col>
          <xdr:colOff>19080</xdr:colOff>
          <xdr:row>7</xdr:row>
          <xdr:rowOff>57240</xdr:rowOff>
        </xdr:to>
        <xdr:sp>
          <xdr:nvSpPr>
            <xdr:cNvPr id="0" name="Group Box 24" descr="Acompanhamento     " hidden="0"/>
            <xdr:cNvSpPr/>
          </xdr:nvSpPr>
          <xdr:spPr>
            <a:xfrm>
              <a:off x="0" y="0"/>
              <a:ext cx="0" cy="0"/>
            </a:xfrm>
            <a:prstGeom prst="rect">
              <a:avLst/>
            </a:prstGeom>
          </xdr:spPr>
          <xdr:txBody>
            <a:bodyPr anchor="ctr">
              <a:noAutofit/>
            </a:bodyPr>
            <a:p>
              <a:r>
                <a:t>Acompanhamento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3</xdr:col>
          <xdr:colOff>831600</xdr:colOff>
          <xdr:row>4</xdr:row>
          <xdr:rowOff>181080</xdr:rowOff>
        </xdr:from>
        <xdr:to>
          <xdr:col>4</xdr:col>
          <xdr:colOff>-7437960</xdr:colOff>
          <xdr:row>5</xdr:row>
          <xdr:rowOff>179640</xdr:rowOff>
        </xdr:to>
        <xdr:sp>
          <xdr:nvSpPr>
            <xdr:cNvPr id="0" name="Drop Down 9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xdr:col>
          <xdr:colOff>9360</xdr:colOff>
          <xdr:row>4</xdr:row>
          <xdr:rowOff>158760</xdr:rowOff>
        </xdr:from>
        <xdr:to>
          <xdr:col>3</xdr:col>
          <xdr:colOff>-1451880</xdr:colOff>
          <xdr:row>7</xdr:row>
          <xdr:rowOff>57240</xdr:rowOff>
        </xdr:to>
        <xdr:sp>
          <xdr:nvSpPr>
            <xdr:cNvPr id="0" name="Group Box 17" descr="Tipo de Orçamento          " hidden="0"/>
            <xdr:cNvSpPr/>
          </xdr:nvSpPr>
          <xdr:spPr>
            <a:xfrm>
              <a:off x="0" y="0"/>
              <a:ext cx="0" cy="0"/>
            </a:xfrm>
            <a:prstGeom prst="rect">
              <a:avLst/>
            </a:prstGeom>
          </xdr:spPr>
          <xdr:txBody>
            <a:bodyPr anchor="ctr">
              <a:noAutofit/>
            </a:bodyPr>
            <a:p>
              <a:r>
                <a:t>Tipo de Orçamento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xdr:col>
          <xdr:colOff>133200</xdr:colOff>
          <xdr:row>4</xdr:row>
          <xdr:rowOff>162000</xdr:rowOff>
        </xdr:from>
        <xdr:to>
          <xdr:col>3</xdr:col>
          <xdr:colOff>-1604160</xdr:colOff>
          <xdr:row>5</xdr:row>
          <xdr:rowOff>171360</xdr:rowOff>
        </xdr:to>
        <xdr:sp>
          <xdr:nvSpPr>
            <xdr:cNvPr id="0" name="Drop Down 9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10</xdr:col>
          <xdr:colOff>38160</xdr:colOff>
          <xdr:row>0</xdr:row>
          <xdr:rowOff>47520</xdr:rowOff>
        </xdr:from>
        <xdr:to>
          <xdr:col>13</xdr:col>
          <xdr:colOff>2371320</xdr:colOff>
          <xdr:row>1</xdr:row>
          <xdr:rowOff>28440</xdr:rowOff>
        </xdr:to>
        <xdr:sp>
          <xdr:nvSpPr>
            <xdr:cNvPr id="1001" name="Check Box 95" descr="Importar Fórmulas para o Custo Unitário (aba ORÇAMENTO)" hidden="0"/>
            <xdr:cNvSpPr/>
          </xdr:nvSpPr>
          <xdr:spPr>
            <a:xfrm>
              <a:off x="0" y="0"/>
              <a:ext cx="0" cy="0"/>
            </a:xfrm>
            <a:prstGeom prst="rect">
              <a:avLst/>
            </a:prstGeom>
          </xdr:spPr>
          <xdr:txBody>
            <a:bodyPr anchor="ctr">
              <a:noAutofit/>
            </a:bodyPr>
            <a:p>
              <a:r>
                <a:t>Importar Fórmulas para o Custo Unitário (aba ORÇAMENTO)</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10</xdr:col>
          <xdr:colOff>38160</xdr:colOff>
          <xdr:row>1</xdr:row>
          <xdr:rowOff>66600</xdr:rowOff>
        </xdr:from>
        <xdr:to>
          <xdr:col>13</xdr:col>
          <xdr:colOff>2390400</xdr:colOff>
          <xdr:row>2</xdr:row>
          <xdr:rowOff>-57240</xdr:rowOff>
        </xdr:to>
        <xdr:sp>
          <xdr:nvSpPr>
            <xdr:cNvPr id="1002" name="Check Box 96" descr="Importar Fórmulas para as Quantidades da PLQ (aba CÁLCULO)" hidden="0"/>
            <xdr:cNvSpPr/>
          </xdr:nvSpPr>
          <xdr:spPr>
            <a:xfrm>
              <a:off x="0" y="0"/>
              <a:ext cx="0" cy="0"/>
            </a:xfrm>
            <a:prstGeom prst="rect">
              <a:avLst/>
            </a:prstGeom>
          </xdr:spPr>
          <xdr:txBody>
            <a:bodyPr anchor="ctr">
              <a:noAutofit/>
            </a:bodyPr>
            <a:p>
              <a:r>
                <a:t>Importar Fórmulas para as Quantidades da PLQ (aba CÁLCULO)</a:t>
              </a:r>
            </a:p>
          </xdr:txBody>
        </xdr:sp>
        <xdr:clientData/>
      </xdr:twoCellAnchor>
    </mc:Choice>
  </mc:AlternateContent>
</xdr:wsDr>
</file>

<file path=xl/drawings/drawing21.xml><?xml version="1.0" encoding="utf-8"?>
<xdr:wsDr xmlns:xdr="http://schemas.openxmlformats.org/drawingml/2006/spreadsheetDrawing" xmlns:a="http://schemas.openxmlformats.org/drawingml/2006/main" xmlns:r="http://schemas.openxmlformats.org/officeDocument/2006/relationships">
  <xdr:twoCellAnchor editAs="twoCell">
    <xdr:from>
      <xdr:col>14</xdr:col>
      <xdr:colOff>102960</xdr:colOff>
      <xdr:row>7</xdr:row>
      <xdr:rowOff>160200</xdr:rowOff>
    </xdr:from>
    <xdr:to>
      <xdr:col>24</xdr:col>
      <xdr:colOff>169200</xdr:colOff>
      <xdr:row>10</xdr:row>
      <xdr:rowOff>49320</xdr:rowOff>
    </xdr:to>
    <xdr:sp fLocksText="0">
      <xdr:nvSpPr>
        <xdr:cNvPr id="80" name="AutoShape 317"/>
        <xdr:cNvSpPr/>
      </xdr:nvSpPr>
      <xdr:spPr>
        <a:xfrm>
          <a:off x="10974960" y="1407960"/>
          <a:ext cx="2833920" cy="374760"/>
        </a:xfrm>
        <a:prstGeom prst="wedgeRectCallout">
          <a:avLst>
            <a:gd name="adj1" fmla="val 72181"/>
            <a:gd name="adj2" fmla="val 58333"/>
          </a:avLst>
        </a:prstGeom>
        <a:solidFill>
          <a:srgbClr val="FFFF99"/>
        </a:solidFill>
        <a:ln w="9360">
          <a:solidFill>
            <a:srgbClr val="000000"/>
          </a:solidFill>
          <a:miter/>
        </a:ln>
      </xdr:spPr>
      <xdr:style>
        <a:lnRef idx="0"/>
        <a:fillRef idx="0"/>
        <a:effectRef idx="0"/>
        <a:fontRef idx="minor"/>
      </xdr:style>
      <xdr:txBody>
        <a:bodyPr vertOverflow="clip" lIns="27360" tIns="22680" rIns="0" bIns="0" anchor="t">
          <a:noAutofit/>
        </a:bodyPr>
        <a:p>
          <a:pPr>
            <a:lnSpc>
              <a:spcPct val="100000"/>
            </a:lnSpc>
          </a:pPr>
          <a:r>
            <a:rPr lang="pt-BR" sz="1000" b="1" u="none" strike="noStrike">
              <a:solidFill>
                <a:srgbClr val="000000"/>
              </a:solidFill>
              <a:effectLst/>
              <a:uFillTx/>
              <a:latin typeface="Arial"/>
            </a:rPr>
            <a:t>Para Metas preenchidas manualmente, digite o valor medido nas colunas à direita.</a:t>
          </a:r>
          <a:endParaRPr lang="pt-BR" sz="1000" b="0" u="none" strike="noStrike">
            <a:effectLst/>
            <a:uFillTx/>
            <a:latin typeface="Times New Roman"/>
          </a:endParaRPr>
        </a:p>
      </xdr:txBody>
    </xdr:sp>
    <xdr:clientData/>
  </xdr:twoCellAnchor>
  <xdr:twoCellAnchor editAs="twoCell">
    <xdr:from>
      <xdr:col>4</xdr:col>
      <xdr:colOff>85680</xdr:colOff>
      <xdr:row>8</xdr:row>
      <xdr:rowOff>28440</xdr:rowOff>
    </xdr:from>
    <xdr:to>
      <xdr:col>5</xdr:col>
      <xdr:colOff>142560</xdr:colOff>
      <xdr:row>10</xdr:row>
      <xdr:rowOff>10800</xdr:rowOff>
    </xdr:to>
    <xdr:sp>
      <xdr:nvSpPr>
        <xdr:cNvPr id="81" name="AutoShape 67">
          <a:hlinkClick r:id="rId1"/>
        </xdr:cNvPr>
        <xdr:cNvSpPr/>
      </xdr:nvSpPr>
      <xdr:spPr>
        <a:xfrm>
          <a:off x="337320" y="1438200"/>
          <a:ext cx="590040" cy="3060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5</xdr:col>
      <xdr:colOff>240480</xdr:colOff>
      <xdr:row>8</xdr:row>
      <xdr:rowOff>31680</xdr:rowOff>
    </xdr:from>
    <xdr:to>
      <xdr:col>5</xdr:col>
      <xdr:colOff>1523520</xdr:colOff>
      <xdr:row>10</xdr:row>
      <xdr:rowOff>9000</xdr:rowOff>
    </xdr:to>
    <xdr:sp macro="[0]!IrPara_Medição">
      <xdr:nvSpPr>
        <xdr:cNvPr id="82" name="AutoShape 67"/>
        <xdr:cNvSpPr/>
      </xdr:nvSpPr>
      <xdr:spPr>
        <a:xfrm>
          <a:off x="1025280" y="1441440"/>
          <a:ext cx="1283040" cy="3009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EDITAR MEDIÇÃO</a:t>
          </a:r>
          <a:endParaRPr lang="pt-BR" sz="1100" b="0" u="none" strike="noStrike">
            <a:effectLst/>
            <a:uFillTx/>
            <a:latin typeface="Times New Roman"/>
          </a:endParaRPr>
        </a:p>
      </xdr:txBody>
    </xdr:sp>
    <xdr:clientData/>
  </xdr:twoCellAnchor>
  <xdr:twoCellAnchor editAs="twoCell">
    <xdr:from>
      <xdr:col>4</xdr:col>
      <xdr:colOff>0</xdr:colOff>
      <xdr:row>0</xdr:row>
      <xdr:rowOff>21240</xdr:rowOff>
    </xdr:from>
    <xdr:to>
      <xdr:col>5</xdr:col>
      <xdr:colOff>1303200</xdr:colOff>
      <xdr:row>1</xdr:row>
      <xdr:rowOff>25200</xdr:rowOff>
    </xdr:to>
    <xdr:pic>
      <xdr:nvPicPr>
        <xdr:cNvPr id="83" name="Picture 2"/>
        <xdr:cNvPicPr/>
      </xdr:nvPicPr>
      <xdr:blipFill>
        <a:blip r:embed="rId2"/>
        <a:stretch/>
      </xdr:blipFill>
      <xdr:spPr>
        <a:xfrm>
          <a:off x="251640" y="21240"/>
          <a:ext cx="1836360" cy="384840"/>
        </a:xfrm>
        <a:prstGeom prst="rect">
          <a:avLst/>
        </a:prstGeom>
        <a:noFill/>
        <a:ln w="0">
          <a:noFill/>
        </a:ln>
      </xdr:spPr>
    </xdr:pic>
    <xdr:clientData/>
  </xdr:twoCellAnchor>
  <xdr:twoCellAnchor editAs="twoCell">
    <xdr:from>
      <xdr:col>5</xdr:col>
      <xdr:colOff>1623600</xdr:colOff>
      <xdr:row>8</xdr:row>
      <xdr:rowOff>31680</xdr:rowOff>
    </xdr:from>
    <xdr:to>
      <xdr:col>5</xdr:col>
      <xdr:colOff>2210040</xdr:colOff>
      <xdr:row>10</xdr:row>
      <xdr:rowOff>9000</xdr:rowOff>
    </xdr:to>
    <xdr:sp>
      <xdr:nvSpPr>
        <xdr:cNvPr id="84" name="AutoShape 67">
          <a:hlinkClick r:id="rId3"/>
        </xdr:cNvPr>
        <xdr:cNvSpPr/>
      </xdr:nvSpPr>
      <xdr:spPr>
        <a:xfrm>
          <a:off x="2408400" y="1441440"/>
          <a:ext cx="586440" cy="3009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OFÍCIO</a:t>
          </a:r>
          <a:endParaRPr lang="pt-BR" sz="1100" b="0" u="none" strike="noStrike">
            <a:effectLst/>
            <a:uFillTx/>
            <a:latin typeface="Times New Roman"/>
          </a:endParaRPr>
        </a:p>
      </xdr:txBody>
    </xdr:sp>
    <xdr:clientData/>
  </xdr:twoCellAnchor>
</xdr:wsDr>
</file>

<file path=xl/drawings/drawing22.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459360</xdr:colOff>
      <xdr:row>1</xdr:row>
      <xdr:rowOff>64440</xdr:rowOff>
    </xdr:from>
    <xdr:to>
      <xdr:col>5</xdr:col>
      <xdr:colOff>485640</xdr:colOff>
      <xdr:row>2</xdr:row>
      <xdr:rowOff>207720</xdr:rowOff>
    </xdr:to>
    <xdr:sp macro="[0]!Plan12.InsereFigura">
      <xdr:nvSpPr>
        <xdr:cNvPr id="85" name="ShapeBrasao"/>
        <xdr:cNvSpPr/>
      </xdr:nvSpPr>
      <xdr:spPr>
        <a:xfrm>
          <a:off x="3610080" y="226440"/>
          <a:ext cx="1476000" cy="3052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INSERIR BRASÃO</a:t>
          </a:r>
          <a:endParaRPr lang="pt-BR" sz="1100" b="0" u="none" strike="noStrike">
            <a:effectLst/>
            <a:uFillTx/>
            <a:latin typeface="Times New Roman"/>
          </a:endParaRPr>
        </a:p>
      </xdr:txBody>
    </xdr:sp>
    <xdr:clientData/>
  </xdr:twoCellAnchor>
  <xdr:twoCellAnchor editAs="twoCell">
    <xdr:from>
      <xdr:col>3</xdr:col>
      <xdr:colOff>653400</xdr:colOff>
      <xdr:row>1</xdr:row>
      <xdr:rowOff>66600</xdr:rowOff>
    </xdr:from>
    <xdr:to>
      <xdr:col>3</xdr:col>
      <xdr:colOff>1193040</xdr:colOff>
      <xdr:row>2</xdr:row>
      <xdr:rowOff>209880</xdr:rowOff>
    </xdr:to>
    <xdr:sp>
      <xdr:nvSpPr>
        <xdr:cNvPr id="86" name="AutoShape 67">
          <a:hlinkClick r:id="rId1"/>
        </xdr:cNvPr>
        <xdr:cNvSpPr/>
      </xdr:nvSpPr>
      <xdr:spPr>
        <a:xfrm>
          <a:off x="2354400" y="228600"/>
          <a:ext cx="539640" cy="305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DADOS</a:t>
          </a:r>
          <a:endParaRPr lang="pt-BR" sz="1100" b="0" u="none" strike="noStrike">
            <a:effectLst/>
            <a:uFillTx/>
            <a:latin typeface="Times New Roman"/>
          </a:endParaRPr>
        </a:p>
      </xdr:txBody>
    </xdr:sp>
    <xdr:clientData/>
  </xdr:twoCellAnchor>
  <xdr:twoCellAnchor editAs="twoCell">
    <xdr:from>
      <xdr:col>3</xdr:col>
      <xdr:colOff>1236960</xdr:colOff>
      <xdr:row>1</xdr:row>
      <xdr:rowOff>63360</xdr:rowOff>
    </xdr:from>
    <xdr:to>
      <xdr:col>4</xdr:col>
      <xdr:colOff>398520</xdr:colOff>
      <xdr:row>2</xdr:row>
      <xdr:rowOff>207000</xdr:rowOff>
    </xdr:to>
    <xdr:sp>
      <xdr:nvSpPr>
        <xdr:cNvPr id="87" name="AutoShape 67">
          <a:hlinkClick r:id="rId2"/>
        </xdr:cNvPr>
        <xdr:cNvSpPr/>
      </xdr:nvSpPr>
      <xdr:spPr>
        <a:xfrm>
          <a:off x="2937960" y="225360"/>
          <a:ext cx="611280" cy="3056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RRE</a:t>
          </a:r>
          <a:endParaRPr lang="pt-BR" sz="1100" b="0" u="none" strike="noStrike">
            <a:effectLst/>
            <a:uFillTx/>
            <a:latin typeface="Times New Roman"/>
          </a:endParaRPr>
        </a:p>
      </xdr:txBody>
    </xdr:sp>
    <xdr:clientData/>
  </xdr:twoCellAnchor>
  <xdr:twoCellAnchor editAs="twoCell">
    <xdr:from>
      <xdr:col>3</xdr:col>
      <xdr:colOff>72360</xdr:colOff>
      <xdr:row>1</xdr:row>
      <xdr:rowOff>66600</xdr:rowOff>
    </xdr:from>
    <xdr:to>
      <xdr:col>3</xdr:col>
      <xdr:colOff>612000</xdr:colOff>
      <xdr:row>2</xdr:row>
      <xdr:rowOff>209880</xdr:rowOff>
    </xdr:to>
    <xdr:sp>
      <xdr:nvSpPr>
        <xdr:cNvPr id="88" name="AutoShape 67">
          <a:hlinkClick r:id="rId3"/>
        </xdr:cNvPr>
        <xdr:cNvSpPr/>
      </xdr:nvSpPr>
      <xdr:spPr>
        <a:xfrm>
          <a:off x="1773360" y="228600"/>
          <a:ext cx="539640" cy="305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64800</xdr:colOff>
      <xdr:row>0</xdr:row>
      <xdr:rowOff>38160</xdr:rowOff>
    </xdr:from>
    <xdr:to>
      <xdr:col>0</xdr:col>
      <xdr:colOff>636120</xdr:colOff>
      <xdr:row>1</xdr:row>
      <xdr:rowOff>135000</xdr:rowOff>
    </xdr:to>
    <xdr:sp>
      <xdr:nvSpPr>
        <xdr:cNvPr id="10" name="AutoShape 67">
          <a:hlinkClick r:id="rId1"/>
        </xdr:cNvPr>
        <xdr:cNvSpPr/>
      </xdr:nvSpPr>
      <xdr:spPr>
        <a:xfrm>
          <a:off x="64800" y="38160"/>
          <a:ext cx="571320" cy="2970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2</xdr:col>
      <xdr:colOff>2809800</xdr:colOff>
      <xdr:row>0</xdr:row>
      <xdr:rowOff>14760</xdr:rowOff>
    </xdr:from>
    <xdr:to>
      <xdr:col>2</xdr:col>
      <xdr:colOff>3528360</xdr:colOff>
      <xdr:row>1</xdr:row>
      <xdr:rowOff>123480</xdr:rowOff>
    </xdr:to>
    <xdr:sp>
      <xdr:nvSpPr>
        <xdr:cNvPr id="11" name="AutoShape 67">
          <a:hlinkClick r:id="rId2"/>
        </xdr:cNvPr>
        <xdr:cNvSpPr/>
      </xdr:nvSpPr>
      <xdr:spPr>
        <a:xfrm>
          <a:off x="6554880" y="14760"/>
          <a:ext cx="71856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BDI</a:t>
          </a:r>
          <a:endParaRPr lang="pt-BR" sz="1100" b="0" u="none" strike="noStrike">
            <a:effectLst/>
            <a:uFillTx/>
            <a:latin typeface="Times New Roman"/>
          </a:endParaRPr>
        </a:p>
      </xdr:txBody>
    </xdr:sp>
    <xdr:clientData/>
  </xdr:twoCellAnchor>
  <xdr:twoCellAnchor editAs="twoCell">
    <xdr:from>
      <xdr:col>2</xdr:col>
      <xdr:colOff>1738080</xdr:colOff>
      <xdr:row>32</xdr:row>
      <xdr:rowOff>0</xdr:rowOff>
    </xdr:from>
    <xdr:to>
      <xdr:col>2</xdr:col>
      <xdr:colOff>3528360</xdr:colOff>
      <xdr:row>33</xdr:row>
      <xdr:rowOff>142560</xdr:rowOff>
    </xdr:to>
    <xdr:sp macro="[0]!IrPara_OrçLicit">
      <xdr:nvSpPr>
        <xdr:cNvPr id="12" name="AutoShape 67"/>
        <xdr:cNvSpPr/>
      </xdr:nvSpPr>
      <xdr:spPr>
        <a:xfrm>
          <a:off x="5483160" y="5301720"/>
          <a:ext cx="179028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ORÇAMENTO LICITADO</a:t>
          </a:r>
          <a:endParaRPr lang="pt-BR" sz="1100" b="0" u="none" strike="noStrike">
            <a:effectLst/>
            <a:uFillTx/>
            <a:latin typeface="Times New Roman"/>
          </a:endParaRPr>
        </a:p>
      </xdr:txBody>
    </xdr:sp>
    <xdr:clientData/>
  </xdr:twoCellAnchor>
  <xdr:twoCellAnchor editAs="twoCell">
    <xdr:from>
      <xdr:col>2</xdr:col>
      <xdr:colOff>2324160</xdr:colOff>
      <xdr:row>43</xdr:row>
      <xdr:rowOff>0</xdr:rowOff>
    </xdr:from>
    <xdr:to>
      <xdr:col>2</xdr:col>
      <xdr:colOff>3528360</xdr:colOff>
      <xdr:row>44</xdr:row>
      <xdr:rowOff>142560</xdr:rowOff>
    </xdr:to>
    <xdr:sp macro="[0]!IrPara_Medição">
      <xdr:nvSpPr>
        <xdr:cNvPr id="13" name="AutoShape 67"/>
        <xdr:cNvSpPr/>
      </xdr:nvSpPr>
      <xdr:spPr>
        <a:xfrm>
          <a:off x="6069240" y="7139880"/>
          <a:ext cx="1204200" cy="3045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MEDIÇÃO</a:t>
          </a:r>
          <a:endParaRPr lang="pt-BR" sz="1100" b="0" u="none" strike="noStrike">
            <a:effectLst/>
            <a:uFillTx/>
            <a:latin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twoCell">
    <xdr:from>
      <xdr:col>9</xdr:col>
      <xdr:colOff>30600</xdr:colOff>
      <xdr:row>0</xdr:row>
      <xdr:rowOff>15120</xdr:rowOff>
    </xdr:from>
    <xdr:to>
      <xdr:col>11</xdr:col>
      <xdr:colOff>403560</xdr:colOff>
      <xdr:row>2</xdr:row>
      <xdr:rowOff>37800</xdr:rowOff>
    </xdr:to>
    <xdr:pic>
      <xdr:nvPicPr>
        <xdr:cNvPr id="14" name="Logo1"/>
        <xdr:cNvPicPr/>
      </xdr:nvPicPr>
      <xdr:blipFill>
        <a:blip r:embed="rId1"/>
        <a:stretch/>
      </xdr:blipFill>
      <xdr:spPr>
        <a:xfrm>
          <a:off x="1027080" y="15120"/>
          <a:ext cx="1862640" cy="375120"/>
        </a:xfrm>
        <a:prstGeom prst="rect">
          <a:avLst/>
        </a:prstGeom>
        <a:noFill/>
        <a:ln w="0">
          <a:noFill/>
        </a:ln>
      </xdr:spPr>
    </xdr:pic>
    <xdr:clientData/>
  </xdr:twoCellAnchor>
  <xdr:twoCellAnchor editAs="twoCell">
    <xdr:from>
      <xdr:col>7</xdr:col>
      <xdr:colOff>176760</xdr:colOff>
      <xdr:row>0</xdr:row>
      <xdr:rowOff>50760</xdr:rowOff>
    </xdr:from>
    <xdr:to>
      <xdr:col>8</xdr:col>
      <xdr:colOff>28080</xdr:colOff>
      <xdr:row>1</xdr:row>
      <xdr:rowOff>151920</xdr:rowOff>
    </xdr:to>
    <xdr:sp>
      <xdr:nvSpPr>
        <xdr:cNvPr id="15" name="AutoShape 67">
          <a:hlinkClick r:id="rId2"/>
        </xdr:cNvPr>
        <xdr:cNvSpPr/>
      </xdr:nvSpPr>
      <xdr:spPr>
        <a:xfrm>
          <a:off x="176760" y="50760"/>
          <a:ext cx="596160" cy="2916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7</xdr:col>
      <xdr:colOff>176760</xdr:colOff>
      <xdr:row>2</xdr:row>
      <xdr:rowOff>14760</xdr:rowOff>
    </xdr:from>
    <xdr:to>
      <xdr:col>8</xdr:col>
      <xdr:colOff>28080</xdr:colOff>
      <xdr:row>3</xdr:row>
      <xdr:rowOff>161640</xdr:rowOff>
    </xdr:to>
    <xdr:sp>
      <xdr:nvSpPr>
        <xdr:cNvPr id="16" name="AutoShape 67">
          <a:hlinkClick r:id="rId3"/>
        </xdr:cNvPr>
        <xdr:cNvSpPr/>
      </xdr:nvSpPr>
      <xdr:spPr>
        <a:xfrm>
          <a:off x="176760" y="367200"/>
          <a:ext cx="59616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PO</a:t>
          </a:r>
          <a:endParaRPr lang="pt-BR" sz="1100" b="0" u="none" strike="noStrike">
            <a:effectLst/>
            <a:uFillTx/>
            <a:latin typeface="Times New Roman"/>
          </a:endParaRPr>
        </a:p>
      </xdr:txBody>
    </xdr:sp>
    <xdr:clientData/>
  </xdr:twoCellAnchor>
  <xdr:twoCellAnchor editAs="twoCell">
    <xdr:from>
      <xdr:col>7</xdr:col>
      <xdr:colOff>148320</xdr:colOff>
      <xdr:row>6</xdr:row>
      <xdr:rowOff>0</xdr:rowOff>
    </xdr:from>
    <xdr:to>
      <xdr:col>7</xdr:col>
      <xdr:colOff>744480</xdr:colOff>
      <xdr:row>6</xdr:row>
      <xdr:rowOff>269640</xdr:rowOff>
    </xdr:to>
    <xdr:sp macro="[0]!IrPara_BDI_1">
      <xdr:nvSpPr>
        <xdr:cNvPr id="17" name="AutoShape 67"/>
        <xdr:cNvSpPr/>
      </xdr:nvSpPr>
      <xdr:spPr>
        <a:xfrm>
          <a:off x="148320" y="1000080"/>
          <a:ext cx="596160" cy="2696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BDI 1</a:t>
          </a:r>
          <a:endParaRPr lang="pt-BR" sz="1100" b="0" u="none" strike="noStrike">
            <a:effectLst/>
            <a:uFillTx/>
            <a:latin typeface="Times New Roman"/>
          </a:endParaRPr>
        </a:p>
      </xdr:txBody>
    </xdr:sp>
    <xdr:clientData/>
  </xdr:twoCellAnchor>
  <xdr:twoCellAnchor editAs="twoCell">
    <xdr:from>
      <xdr:col>7</xdr:col>
      <xdr:colOff>148320</xdr:colOff>
      <xdr:row>7</xdr:row>
      <xdr:rowOff>0</xdr:rowOff>
    </xdr:from>
    <xdr:to>
      <xdr:col>7</xdr:col>
      <xdr:colOff>744480</xdr:colOff>
      <xdr:row>8</xdr:row>
      <xdr:rowOff>107640</xdr:rowOff>
    </xdr:to>
    <xdr:sp macro="[0]!IrPara_BDI_2">
      <xdr:nvSpPr>
        <xdr:cNvPr id="18" name="AutoShape 67"/>
        <xdr:cNvSpPr/>
      </xdr:nvSpPr>
      <xdr:spPr>
        <a:xfrm>
          <a:off x="148320" y="1303200"/>
          <a:ext cx="596160" cy="2980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BDI 2</a:t>
          </a:r>
          <a:endParaRPr lang="pt-BR" sz="1100" b="0" u="none" strike="noStrike">
            <a:effectLst/>
            <a:uFillTx/>
            <a:latin typeface="Times New Roman"/>
          </a:endParaRPr>
        </a:p>
      </xdr:txBody>
    </xdr:sp>
    <xdr:clientData/>
  </xdr:twoCellAnchor>
  <xdr:twoCellAnchor editAs="twoCell">
    <xdr:from>
      <xdr:col>7</xdr:col>
      <xdr:colOff>148320</xdr:colOff>
      <xdr:row>8</xdr:row>
      <xdr:rowOff>158760</xdr:rowOff>
    </xdr:from>
    <xdr:to>
      <xdr:col>7</xdr:col>
      <xdr:colOff>744480</xdr:colOff>
      <xdr:row>10</xdr:row>
      <xdr:rowOff>104400</xdr:rowOff>
    </xdr:to>
    <xdr:sp macro="[0]!IrPara_BDI_3">
      <xdr:nvSpPr>
        <xdr:cNvPr id="19" name="AutoShape 67"/>
        <xdr:cNvSpPr/>
      </xdr:nvSpPr>
      <xdr:spPr>
        <a:xfrm>
          <a:off x="148320" y="1652400"/>
          <a:ext cx="596160" cy="2692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BDI 3</a:t>
          </a:r>
          <a:endParaRPr lang="pt-BR" sz="1100" b="0" u="none" strike="noStrike">
            <a:effectLst/>
            <a:uFillTx/>
            <a:latin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twoCell">
    <xdr:from>
      <xdr:col>14</xdr:col>
      <xdr:colOff>60840</xdr:colOff>
      <xdr:row>0</xdr:row>
      <xdr:rowOff>15120</xdr:rowOff>
    </xdr:from>
    <xdr:to>
      <xdr:col>15</xdr:col>
      <xdr:colOff>1035720</xdr:colOff>
      <xdr:row>1</xdr:row>
      <xdr:rowOff>167040</xdr:rowOff>
    </xdr:to>
    <xdr:pic>
      <xdr:nvPicPr>
        <xdr:cNvPr id="20" name="Picture 2"/>
        <xdr:cNvPicPr/>
      </xdr:nvPicPr>
      <xdr:blipFill>
        <a:blip r:embed="rId1"/>
        <a:stretch/>
      </xdr:blipFill>
      <xdr:spPr>
        <a:xfrm>
          <a:off x="1519920" y="15120"/>
          <a:ext cx="1860840" cy="372240"/>
        </a:xfrm>
        <a:prstGeom prst="rect">
          <a:avLst/>
        </a:prstGeom>
        <a:noFill/>
        <a:ln w="0">
          <a:noFill/>
        </a:ln>
      </xdr:spPr>
    </xdr:pic>
    <xdr:clientData/>
  </xdr:twoCellAnchor>
  <xdr:twoCellAnchor editAs="twoCell">
    <xdr:from>
      <xdr:col>19</xdr:col>
      <xdr:colOff>8640</xdr:colOff>
      <xdr:row>8</xdr:row>
      <xdr:rowOff>95400</xdr:rowOff>
    </xdr:from>
    <xdr:to>
      <xdr:col>24</xdr:col>
      <xdr:colOff>2880</xdr:colOff>
      <xdr:row>10</xdr:row>
      <xdr:rowOff>140760</xdr:rowOff>
    </xdr:to>
    <xdr:sp fLocksText="0">
      <xdr:nvSpPr>
        <xdr:cNvPr id="21" name="TextBoxArred"/>
        <xdr:cNvSpPr/>
      </xdr:nvSpPr>
      <xdr:spPr>
        <a:xfrm flipH="1">
          <a:off x="9914760" y="1373040"/>
          <a:ext cx="4916520" cy="369360"/>
        </a:xfrm>
        <a:prstGeom prst="rect">
          <a:avLst/>
        </a:prstGeom>
        <a:noFill/>
        <a:ln w="6480">
          <a:solidFill>
            <a:srgbClr val="000000"/>
          </a:solidFill>
          <a:miter/>
        </a:ln>
      </xdr:spPr>
      <xdr:style>
        <a:lnRef idx="0"/>
        <a:fillRef idx="0"/>
        <a:effectRef idx="0"/>
        <a:fontRef idx="minor"/>
      </xdr:style>
      <xdr:txBody>
        <a:bodyPr vertOverflow="clip" lIns="27360" tIns="22680" rIns="27360" bIns="0" anchor="t">
          <a:noAutofit/>
        </a:bodyPr>
        <a:p>
          <a:pPr algn="ctr">
            <a:lnSpc>
              <a:spcPct val="100000"/>
            </a:lnSpc>
          </a:pPr>
          <a:r>
            <a:rPr lang="pt-BR" sz="1000" b="0" u="none" strike="noStrike">
              <a:solidFill>
                <a:srgbClr val="000000"/>
              </a:solidFill>
              <a:effectLst/>
              <a:uFillTx/>
              <a:latin typeface="Arial"/>
            </a:rPr>
            <a:t>Considerar valores arredondados com (0,00)</a:t>
          </a:r>
          <a:endParaRPr lang="pt-BR" sz="1000" b="0" u="none" strike="noStrike">
            <a:effectLst/>
            <a:uFillTx/>
            <a:latin typeface="Times New Roman"/>
          </a:endParaRPr>
        </a:p>
      </xdr:txBody>
    </xdr:sp>
    <xdr:clientData/>
  </xdr:twoCellAnchor>
  <xdr:twoCellAnchor editAs="twoCell">
    <xdr:from>
      <xdr:col>12</xdr:col>
      <xdr:colOff>302760</xdr:colOff>
      <xdr:row>0</xdr:row>
      <xdr:rowOff>60120</xdr:rowOff>
    </xdr:from>
    <xdr:to>
      <xdr:col>13</xdr:col>
      <xdr:colOff>440280</xdr:colOff>
      <xdr:row>1</xdr:row>
      <xdr:rowOff>143640</xdr:rowOff>
    </xdr:to>
    <xdr:sp>
      <xdr:nvSpPr>
        <xdr:cNvPr id="22" name="AutoShape 67">
          <a:hlinkClick r:id="rId2"/>
        </xdr:cNvPr>
        <xdr:cNvSpPr/>
      </xdr:nvSpPr>
      <xdr:spPr>
        <a:xfrm>
          <a:off x="554400" y="60120"/>
          <a:ext cx="741240" cy="30384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MENU</a:t>
          </a:r>
          <a:endParaRPr lang="pt-BR" sz="1100" b="0" u="none" strike="noStrike">
            <a:effectLst/>
            <a:uFillTx/>
            <a:latin typeface="Times New Roman"/>
          </a:endParaRPr>
        </a:p>
      </xdr:txBody>
    </xdr:sp>
    <xdr:clientData/>
  </xdr:twoCellAnchor>
  <xdr:twoCellAnchor editAs="twoCell">
    <xdr:from>
      <xdr:col>14</xdr:col>
      <xdr:colOff>3960</xdr:colOff>
      <xdr:row>8</xdr:row>
      <xdr:rowOff>45720</xdr:rowOff>
    </xdr:from>
    <xdr:to>
      <xdr:col>15</xdr:col>
      <xdr:colOff>396720</xdr:colOff>
      <xdr:row>11</xdr:row>
      <xdr:rowOff>18000</xdr:rowOff>
    </xdr:to>
    <xdr:sp macro="[0]!Linhas.AddLinha">
      <xdr:nvSpPr>
        <xdr:cNvPr id="23" name="AutoShape 67"/>
        <xdr:cNvSpPr/>
      </xdr:nvSpPr>
      <xdr:spPr>
        <a:xfrm>
          <a:off x="1463040" y="1323360"/>
          <a:ext cx="1278720" cy="4579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ADICIONAR LINHAS</a:t>
          </a:r>
          <a:endParaRPr lang="pt-BR" sz="1100" b="0" u="none" strike="noStrike">
            <a:effectLst/>
            <a:uFillTx/>
            <a:latin typeface="Times New Roman"/>
          </a:endParaRPr>
        </a:p>
      </xdr:txBody>
    </xdr:sp>
    <xdr:clientData/>
  </xdr:twoCellAnchor>
  <xdr:twoCellAnchor editAs="twoCell">
    <xdr:from>
      <xdr:col>16</xdr:col>
      <xdr:colOff>836280</xdr:colOff>
      <xdr:row>8</xdr:row>
      <xdr:rowOff>41760</xdr:rowOff>
    </xdr:from>
    <xdr:to>
      <xdr:col>17</xdr:col>
      <xdr:colOff>1025280</xdr:colOff>
      <xdr:row>11</xdr:row>
      <xdr:rowOff>19800</xdr:rowOff>
    </xdr:to>
    <xdr:sp macro="[0]!fixar">
      <xdr:nvSpPr>
        <xdr:cNvPr id="24" name="AutoShape 67"/>
        <xdr:cNvSpPr/>
      </xdr:nvSpPr>
      <xdr:spPr>
        <a:xfrm>
          <a:off x="4278600" y="1319400"/>
          <a:ext cx="1286280" cy="4636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FIXAR DESCRIÇÕES</a:t>
          </a:r>
          <a:endParaRPr lang="pt-BR" sz="1100" b="0" u="none" strike="noStrike">
            <a:effectLst/>
            <a:uFillTx/>
            <a:latin typeface="Times New Roman"/>
          </a:endParaRPr>
        </a:p>
      </xdr:txBody>
    </xdr:sp>
    <xdr:clientData/>
  </xdr:twoCellAnchor>
  <xdr:twoCellAnchor editAs="twoCell">
    <xdr:from>
      <xdr:col>15</xdr:col>
      <xdr:colOff>527760</xdr:colOff>
      <xdr:row>8</xdr:row>
      <xdr:rowOff>38160</xdr:rowOff>
    </xdr:from>
    <xdr:to>
      <xdr:col>16</xdr:col>
      <xdr:colOff>716760</xdr:colOff>
      <xdr:row>11</xdr:row>
      <xdr:rowOff>20160</xdr:rowOff>
    </xdr:to>
    <xdr:sp macro="[0]!Linhas.ExcLinhas">
      <xdr:nvSpPr>
        <xdr:cNvPr id="25" name="AutoShape 67"/>
        <xdr:cNvSpPr/>
      </xdr:nvSpPr>
      <xdr:spPr>
        <a:xfrm>
          <a:off x="2872800" y="1315800"/>
          <a:ext cx="1286280" cy="46764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EXCLUIR LINHAS</a:t>
          </a:r>
          <a:endParaRPr lang="pt-BR" sz="1100" b="0" u="none" strike="noStrike">
            <a:effectLst/>
            <a:uFillTx/>
            <a:latin typeface="Times New Roman"/>
          </a:endParaRPr>
        </a:p>
      </xdr:txBody>
    </xdr:sp>
    <xdr:clientData/>
  </xdr:twoCellAnchor>
  <xdr:twoCellAnchor editAs="twoCell">
    <xdr:from>
      <xdr:col>17</xdr:col>
      <xdr:colOff>2535480</xdr:colOff>
      <xdr:row>8</xdr:row>
      <xdr:rowOff>38160</xdr:rowOff>
    </xdr:from>
    <xdr:to>
      <xdr:col>17</xdr:col>
      <xdr:colOff>3764520</xdr:colOff>
      <xdr:row>11</xdr:row>
      <xdr:rowOff>20160</xdr:rowOff>
    </xdr:to>
    <xdr:sp macro="[0]!recuperar">
      <xdr:nvSpPr>
        <xdr:cNvPr id="26" name="AutoShape 67"/>
        <xdr:cNvSpPr/>
      </xdr:nvSpPr>
      <xdr:spPr>
        <a:xfrm>
          <a:off x="7075080" y="1315800"/>
          <a:ext cx="1229040" cy="46764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RECUPERAR FÓRMULAS</a:t>
          </a:r>
          <a:endParaRPr lang="pt-BR" sz="1100" b="0" u="none" strike="noStrike">
            <a:effectLst/>
            <a:uFillTx/>
            <a:latin typeface="Times New Roman"/>
          </a:endParaRPr>
        </a:p>
      </xdr:txBody>
    </xdr:sp>
    <xdr:clientData/>
  </xdr:twoCellAnchor>
  <xdr:twoCellAnchor editAs="twoCell">
    <xdr:from>
      <xdr:col>17</xdr:col>
      <xdr:colOff>3889800</xdr:colOff>
      <xdr:row>8</xdr:row>
      <xdr:rowOff>39960</xdr:rowOff>
    </xdr:from>
    <xdr:to>
      <xdr:col>18</xdr:col>
      <xdr:colOff>640440</xdr:colOff>
      <xdr:row>11</xdr:row>
      <xdr:rowOff>8640</xdr:rowOff>
    </xdr:to>
    <xdr:sp macro="[0]!buscarcodigo">
      <xdr:nvSpPr>
        <xdr:cNvPr id="27" name="AutoShape 67"/>
        <xdr:cNvSpPr/>
      </xdr:nvSpPr>
      <xdr:spPr>
        <a:xfrm>
          <a:off x="8429400" y="1317600"/>
          <a:ext cx="1372320" cy="45432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BUSCAR CÓDIGO</a:t>
          </a:r>
          <a:endParaRPr lang="pt-BR" sz="1100" b="0" u="none" strike="noStrike">
            <a:effectLst/>
            <a:uFillTx/>
            <a:latin typeface="Times New Roman"/>
          </a:endParaRPr>
        </a:p>
      </xdr:txBody>
    </xdr:sp>
    <xdr:clientData/>
  </xdr:twoCellAnchor>
  <xdr:twoCellAnchor editAs="twoCell">
    <xdr:from>
      <xdr:col>12</xdr:col>
      <xdr:colOff>303840</xdr:colOff>
      <xdr:row>2</xdr:row>
      <xdr:rowOff>21240</xdr:rowOff>
    </xdr:from>
    <xdr:to>
      <xdr:col>13</xdr:col>
      <xdr:colOff>441360</xdr:colOff>
      <xdr:row>4</xdr:row>
      <xdr:rowOff>6120</xdr:rowOff>
    </xdr:to>
    <xdr:sp>
      <xdr:nvSpPr>
        <xdr:cNvPr id="28" name="AutoShape 67">
          <a:hlinkClick r:id="rId3"/>
        </xdr:cNvPr>
        <xdr:cNvSpPr/>
      </xdr:nvSpPr>
      <xdr:spPr>
        <a:xfrm>
          <a:off x="555480" y="432000"/>
          <a:ext cx="74124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BDI</a:t>
          </a:r>
          <a:endParaRPr lang="pt-BR" sz="1100" b="0" u="none" strike="noStrike">
            <a:effectLst/>
            <a:uFillTx/>
            <a:latin typeface="Times New Roman"/>
          </a:endParaRPr>
        </a:p>
      </xdr:txBody>
    </xdr:sp>
    <xdr:clientData/>
  </xdr:twoCellAnchor>
  <xdr:twoCellAnchor editAs="twoCell">
    <xdr:from>
      <xdr:col>12</xdr:col>
      <xdr:colOff>308160</xdr:colOff>
      <xdr:row>4</xdr:row>
      <xdr:rowOff>67680</xdr:rowOff>
    </xdr:from>
    <xdr:to>
      <xdr:col>13</xdr:col>
      <xdr:colOff>445680</xdr:colOff>
      <xdr:row>6</xdr:row>
      <xdr:rowOff>158400</xdr:rowOff>
    </xdr:to>
    <xdr:sp>
      <xdr:nvSpPr>
        <xdr:cNvPr id="29" name="AutoShape 67">
          <a:hlinkClick r:id="rId4"/>
        </xdr:cNvPr>
        <xdr:cNvSpPr/>
      </xdr:nvSpPr>
      <xdr:spPr>
        <a:xfrm>
          <a:off x="559800" y="802440"/>
          <a:ext cx="741240" cy="30960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CÁLCULO</a:t>
          </a:r>
          <a:endParaRPr lang="pt-BR" sz="1100" b="0" u="none" strike="noStrike">
            <a:effectLst/>
            <a:uFillTx/>
            <a:latin typeface="Times New Roman"/>
          </a:endParaRPr>
        </a:p>
      </xdr:txBody>
    </xdr:sp>
    <xdr:clientData/>
  </xdr:twoCellAnchor>
  <xdr:twoCellAnchor editAs="twoCell">
    <xdr:from>
      <xdr:col>12</xdr:col>
      <xdr:colOff>308160</xdr:colOff>
      <xdr:row>7</xdr:row>
      <xdr:rowOff>52920</xdr:rowOff>
    </xdr:from>
    <xdr:to>
      <xdr:col>13</xdr:col>
      <xdr:colOff>445680</xdr:colOff>
      <xdr:row>9</xdr:row>
      <xdr:rowOff>37800</xdr:rowOff>
    </xdr:to>
    <xdr:sp macro="[0]!IrPara_Eventos">
      <xdr:nvSpPr>
        <xdr:cNvPr id="30" name="AutoShape 67"/>
        <xdr:cNvSpPr/>
      </xdr:nvSpPr>
      <xdr:spPr>
        <a:xfrm>
          <a:off x="559800" y="1168560"/>
          <a:ext cx="741240" cy="30888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000" b="1" u="none" strike="noStrike">
              <a:solidFill>
                <a:srgbClr val="000000"/>
              </a:solidFill>
              <a:effectLst/>
              <a:uFillTx/>
              <a:latin typeface="Calibri"/>
            </a:rPr>
            <a:t>EVENTOS</a:t>
          </a:r>
          <a:endParaRPr lang="pt-BR" sz="1000" b="0" u="none" strike="noStrike">
            <a:effectLst/>
            <a:uFillTx/>
            <a:latin typeface="Times New Roman"/>
          </a:endParaRPr>
        </a:p>
      </xdr:txBody>
    </xdr:sp>
    <xdr:clientData/>
  </xdr:twoCellAnchor>
  <xdr:twoCellAnchor editAs="twoCell">
    <xdr:from>
      <xdr:col>12</xdr:col>
      <xdr:colOff>308160</xdr:colOff>
      <xdr:row>9</xdr:row>
      <xdr:rowOff>105840</xdr:rowOff>
    </xdr:from>
    <xdr:to>
      <xdr:col>13</xdr:col>
      <xdr:colOff>445680</xdr:colOff>
      <xdr:row>11</xdr:row>
      <xdr:rowOff>90360</xdr:rowOff>
    </xdr:to>
    <xdr:sp macro="[0]!IrPara_Crono">
      <xdr:nvSpPr>
        <xdr:cNvPr id="31" name="AutoShape 67"/>
        <xdr:cNvSpPr/>
      </xdr:nvSpPr>
      <xdr:spPr>
        <a:xfrm>
          <a:off x="559800" y="1545480"/>
          <a:ext cx="741240" cy="308160"/>
        </a:xfrm>
        <a:prstGeom prst="roundRect">
          <a:avLst>
            <a:gd name="adj" fmla="val 16667"/>
          </a:avLst>
        </a:prstGeom>
        <a:solidFill>
          <a:srgbClr val="99CCFF"/>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CRONO</a:t>
          </a:r>
          <a:endParaRPr lang="pt-BR" sz="1100" b="0" u="none" strike="noStrike">
            <a:effectLst/>
            <a:uFillTx/>
            <a:latin typeface="Times New Roman"/>
          </a:endParaRPr>
        </a:p>
      </xdr:txBody>
    </xdr:sp>
    <xdr:clientData/>
  </xdr:twoCellAnchor>
  <xdr:twoCellAnchor editAs="twoCell">
    <xdr:from>
      <xdr:col>17</xdr:col>
      <xdr:colOff>1161720</xdr:colOff>
      <xdr:row>8</xdr:row>
      <xdr:rowOff>41760</xdr:rowOff>
    </xdr:from>
    <xdr:to>
      <xdr:col>17</xdr:col>
      <xdr:colOff>2390760</xdr:colOff>
      <xdr:row>11</xdr:row>
      <xdr:rowOff>19800</xdr:rowOff>
    </xdr:to>
    <xdr:sp macro="[0]!unidade_padrão">
      <xdr:nvSpPr>
        <xdr:cNvPr id="32" name="AutoShape 67"/>
        <xdr:cNvSpPr/>
      </xdr:nvSpPr>
      <xdr:spPr>
        <a:xfrm>
          <a:off x="5701320" y="1319400"/>
          <a:ext cx="1229040" cy="463680"/>
        </a:xfrm>
        <a:prstGeom prst="roundRect">
          <a:avLst>
            <a:gd name="adj" fmla="val 16667"/>
          </a:avLst>
        </a:prstGeom>
        <a:solidFill>
          <a:srgbClr val="FFCC99"/>
        </a:solidFill>
        <a:ln w="9360">
          <a:solidFill>
            <a:srgbClr val="808080"/>
          </a:solidFill>
          <a:miter/>
        </a:ln>
      </xdr:spPr>
      <xdr:style>
        <a:lnRef idx="0"/>
        <a:fillRef idx="0"/>
        <a:effectRef idx="0"/>
        <a:fontRef idx="minor"/>
      </xdr:style>
      <xdr:txBody>
        <a:bodyPr vertOverflow="clip" lIns="27360" tIns="27360" rIns="27360" bIns="27360" anchor="ctr">
          <a:noAutofit/>
        </a:bodyPr>
        <a:p>
          <a:pPr algn="ctr">
            <a:lnSpc>
              <a:spcPct val="100000"/>
            </a:lnSpc>
          </a:pPr>
          <a:r>
            <a:rPr lang="pt-BR" sz="1100" b="1" u="none" strike="noStrike">
              <a:solidFill>
                <a:srgbClr val="000000"/>
              </a:solidFill>
              <a:effectLst/>
              <a:uFillTx/>
              <a:latin typeface="Calibri"/>
            </a:rPr>
            <a:t>PADRONIZAR UNIDADES</a:t>
          </a:r>
          <a:endParaRPr lang="pt-BR" sz="1100" b="0" u="none" strike="noStrike">
            <a:effectLst/>
            <a:uFillTx/>
            <a:latin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3</xdr:col>
          <xdr:colOff>9039240</xdr:colOff>
          <xdr:row>6</xdr:row>
          <xdr:rowOff>113040</xdr:rowOff>
        </xdr:from>
        <xdr:to>
          <xdr:col>4</xdr:col>
          <xdr:colOff>283680</xdr:colOff>
          <xdr:row>8</xdr:row>
          <xdr:rowOff>720</xdr:rowOff>
        </xdr:to>
        <xdr:sp>
          <xdr:nvSpPr>
            <xdr:cNvPr id="1001" name="CaixaArredQuant"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20</xdr:col>
          <xdr:colOff>390600</xdr:colOff>
          <xdr:row>9</xdr:row>
          <xdr:rowOff>66600</xdr:rowOff>
        </xdr:from>
        <xdr:to>
          <xdr:col>21</xdr:col>
          <xdr:colOff>-207720</xdr:colOff>
          <xdr:row>10</xdr:row>
          <xdr:rowOff>142920</xdr:rowOff>
        </xdr:to>
        <xdr:sp>
          <xdr:nvSpPr>
            <xdr:cNvPr id="1002" name="CaixaArredCustoUnit"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21</xdr:col>
          <xdr:colOff>266760</xdr:colOff>
          <xdr:row>9</xdr:row>
          <xdr:rowOff>66600</xdr:rowOff>
        </xdr:from>
        <xdr:to>
          <xdr:col>22</xdr:col>
          <xdr:colOff>-68400</xdr:colOff>
          <xdr:row>10</xdr:row>
          <xdr:rowOff>142920</xdr:rowOff>
        </xdr:to>
        <xdr:sp>
          <xdr:nvSpPr>
            <xdr:cNvPr id="1003" name="CaixaArredBDI"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22</xdr:col>
          <xdr:colOff>390600</xdr:colOff>
          <xdr:row>9</xdr:row>
          <xdr:rowOff>66600</xdr:rowOff>
        </xdr:from>
        <xdr:to>
          <xdr:col>23</xdr:col>
          <xdr:colOff>-217080</xdr:colOff>
          <xdr:row>10</xdr:row>
          <xdr:rowOff>142920</xdr:rowOff>
        </xdr:to>
        <xdr:sp>
          <xdr:nvSpPr>
            <xdr:cNvPr id="1004" name="CaixaArredPrecoUnit"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23</xdr:col>
          <xdr:colOff>428400</xdr:colOff>
          <xdr:row>9</xdr:row>
          <xdr:rowOff>47520</xdr:rowOff>
        </xdr:from>
        <xdr:to>
          <xdr:col>24</xdr:col>
          <xdr:colOff>-240480</xdr:colOff>
          <xdr:row>10</xdr:row>
          <xdr:rowOff>142920</xdr:rowOff>
        </xdr:to>
        <xdr:sp>
          <xdr:nvSpPr>
            <xdr:cNvPr id="1005" name="CaixaArredPrecoTotal" descr="" hidden="0"/>
            <xdr:cNvSpPr/>
          </xdr:nvSpPr>
          <xdr:spPr>
            <a:xfrm>
              <a:off x="0" y="0"/>
              <a:ext cx="0" cy="0"/>
            </a:xfrm>
            <a:prstGeom prst="rect">
              <a:avLst/>
            </a:prstGeom>
          </xdr:spPr>
          <xdr:txBody>
            <a:bodyPr anchor="ctr">
              <a:noAutofit/>
            </a:bodyPr>
            <a:p>
              <a:r>
                <a:t/>
              </a:r>
            </a:p>
          </xdr:txBody>
        </xdr:sp>
        <xdr:clientData/>
      </xdr:twoCellAnchor>
    </mc:Choice>
  </mc:AlternateContent>
</xdr:wsDr>
</file>

<file path=xl/theme/theme1.xml><?xml version="1.0" encoding="utf-8"?>
<a:theme xmlns:a="http://schemas.openxmlformats.org/drawingml/2006/main" xmlns:r="http://schemas.openxmlformats.org/officeDocument/2006/relationships"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comments" Target="../comments10.xml"/><Relationship Id="rId2" Type="http://schemas.openxmlformats.org/officeDocument/2006/relationships/drawing" Target="../drawings/drawing17.xml"/><Relationship Id="rId3" Type="http://schemas.openxmlformats.org/officeDocument/2006/relationships/vmlDrawing" Target="../drawings/vmlDrawing6.vml"/>
</Relationships>
</file>

<file path=xl/worksheets/_rels/sheet11.xml.rels><?xml version="1.0" encoding="UTF-8"?>
<Relationships xmlns="http://schemas.openxmlformats.org/package/2006/relationships"><Relationship Id="rId1" Type="http://schemas.openxmlformats.org/officeDocument/2006/relationships/drawing" Target="../drawings/drawing18.xml"/>
</Relationships>
</file>

<file path=xl/worksheets/_rels/sheet12.xml.rels><?xml version="1.0" encoding="UTF-8"?>
<Relationships xmlns="http://schemas.openxmlformats.org/package/2006/relationships"><Relationship Id="rId1" Type="http://schemas.openxmlformats.org/officeDocument/2006/relationships/comments" Target="../comments12.xml"/><Relationship Id="rId2" Type="http://schemas.openxmlformats.org/officeDocument/2006/relationships/drawing" Target="../drawings/drawing19.xml"/><Relationship Id="rId3" Type="http://schemas.openxmlformats.org/officeDocument/2006/relationships/vmlDrawing" Target="../drawings/vmlDrawing7.vml"/><Relationship Id="rId4" Type="http://schemas.openxmlformats.org/officeDocument/2006/relationships/ctrlProp" Target="../ctrlProps/ctrlProps20.xml"/>
</Relationships>
</file>

<file path=xl/worksheets/_rels/sheet13.xml.rels><?xml version="1.0" encoding="UTF-8"?>
<Relationships xmlns="http://schemas.openxmlformats.org/package/2006/relationships"><Relationship Id="rId1" Type="http://schemas.openxmlformats.org/officeDocument/2006/relationships/comments" Target="../comments13.xml"/><Relationship Id="rId2" Type="http://schemas.openxmlformats.org/officeDocument/2006/relationships/drawing" Target="../drawings/drawing21.xml"/><Relationship Id="rId3" Type="http://schemas.openxmlformats.org/officeDocument/2006/relationships/vmlDrawing" Target="../drawings/vmlDrawing8.vml"/>
</Relationships>
</file>

<file path=xl/worksheets/_rels/sheet14.xml.rels><?xml version="1.0" encoding="UTF-8"?>
<Relationships xmlns="http://schemas.openxmlformats.org/package/2006/relationships"><Relationship Id="rId1" Type="http://schemas.openxmlformats.org/officeDocument/2006/relationships/drawing" Target="../drawings/drawing22.xml"/>
</Relationships>
</file>

<file path=xl/worksheets/_rels/sheet2.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1.vml"/><Relationship Id="rId3" Type="http://schemas.openxmlformats.org/officeDocument/2006/relationships/ctrlProp" Target="../ctrlProps/ctrlProps3.xml"/><Relationship Id="rId4" Type="http://schemas.openxmlformats.org/officeDocument/2006/relationships/ctrlProp" Target="../ctrlProps/ctrlProps4.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5.xml"/><Relationship Id="rId3" Type="http://schemas.openxmlformats.org/officeDocument/2006/relationships/vmlDrawing" Target="../drawings/vmlDrawing2.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6.xml"/><Relationship Id="rId3" Type="http://schemas.openxmlformats.org/officeDocument/2006/relationships/vmlDrawing" Target="../drawings/vmlDrawing3.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7.xml"/><Relationship Id="rId3" Type="http://schemas.openxmlformats.org/officeDocument/2006/relationships/vmlDrawing" Target="../drawings/vmlDrawing4.vml"/><Relationship Id="rId4" Type="http://schemas.openxmlformats.org/officeDocument/2006/relationships/ctrlProp" Target="../ctrlProps/ctrlProps8.xml"/><Relationship Id="rId5" Type="http://schemas.openxmlformats.org/officeDocument/2006/relationships/ctrlProp" Target="../ctrlProps/ctrlProps9.xml"/><Relationship Id="rId6" Type="http://schemas.openxmlformats.org/officeDocument/2006/relationships/ctrlProp" Target="../ctrlProps/ctrlProps10.xml"/><Relationship Id="rId7" Type="http://schemas.openxmlformats.org/officeDocument/2006/relationships/ctrlProp" Target="../ctrlProps/ctrlProps11.xml"/><Relationship Id="rId8" Type="http://schemas.openxmlformats.org/officeDocument/2006/relationships/ctrlProp" Target="../ctrlProps/ctrlProps12.x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13.xml"/><Relationship Id="rId3" Type="http://schemas.openxmlformats.org/officeDocument/2006/relationships/vmlDrawing" Target="../drawings/vmlDrawing5.vml"/>
</Relationships>
</file>

<file path=xl/worksheets/_rels/sheet7.xml.rels><?xml version="1.0" encoding="UTF-8"?>
<Relationships xmlns="http://schemas.openxmlformats.org/package/2006/relationships"><Relationship Id="rId1" Type="http://schemas.openxmlformats.org/officeDocument/2006/relationships/drawing" Target="../drawings/drawing14.xml"/>
</Relationships>
</file>

<file path=xl/worksheets/_rels/sheet8.xml.rels><?xml version="1.0" encoding="UTF-8"?>
<Relationships xmlns="http://schemas.openxmlformats.org/package/2006/relationships"><Relationship Id="rId1" Type="http://schemas.openxmlformats.org/officeDocument/2006/relationships/drawing" Target="../drawings/drawing15.xml"/>
</Relationships>
</file>

<file path=xl/worksheets/_rels/sheet9.xml.rels><?xml version="1.0" encoding="UTF-8"?>
<Relationships xmlns="http://schemas.openxmlformats.org/package/2006/relationships"><Relationship Id="rId1" Type="http://schemas.openxmlformats.org/officeDocument/2006/relationships/drawing" Target="../drawings/drawing16.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3:E193"/>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2.75" customHeight="false" zeroHeight="false" outlineLevelRow="0" outlineLevelCol="0"/>
  <cols>
    <col collapsed="false" customWidth="true" hidden="false" outlineLevel="0" max="1" min="1" style="0" width="8.57"/>
    <col collapsed="false" customWidth="true" hidden="false" outlineLevel="0" max="2" min="2" style="0" width="5.57"/>
    <col collapsed="false" customWidth="true" hidden="false" outlineLevel="0" max="3" min="3" style="0" width="3.57"/>
    <col collapsed="false" customWidth="true" hidden="false" outlineLevel="0" max="4" min="4" style="0" width="130.57"/>
  </cols>
  <sheetData>
    <row r="3" customFormat="false" ht="36.75" hidden="false" customHeight="true" outlineLevel="0" collapsed="false">
      <c r="B3" s="1" t="s">
        <v>0</v>
      </c>
    </row>
    <row r="5" customFormat="false" ht="17.35" hidden="false" customHeight="false" outlineLevel="0" collapsed="false">
      <c r="A5" s="2"/>
      <c r="B5" s="3"/>
      <c r="C5" s="3"/>
      <c r="D5" s="4"/>
    </row>
    <row r="6" customFormat="false" ht="17.35" hidden="false" customHeight="false" outlineLevel="0" collapsed="false">
      <c r="A6" s="5" t="s">
        <v>1</v>
      </c>
      <c r="B6" s="6"/>
      <c r="C6" s="6"/>
      <c r="D6" s="7"/>
    </row>
    <row r="7" customFormat="false" ht="13.8" hidden="false" customHeight="false" outlineLevel="0" collapsed="false">
      <c r="A7" s="8"/>
      <c r="B7" s="9" t="s">
        <v>2</v>
      </c>
      <c r="C7" s="9"/>
      <c r="D7" s="7"/>
    </row>
    <row r="8" customFormat="false" ht="13.8" hidden="false" customHeight="false" outlineLevel="0" collapsed="false">
      <c r="A8" s="8"/>
      <c r="B8" s="9"/>
      <c r="C8" s="10" t="str">
        <f aca="false">IF(D8&lt;&gt;"","▪","")</f>
        <v>▪</v>
      </c>
      <c r="D8" s="11" t="s">
        <v>3</v>
      </c>
    </row>
    <row r="9" customFormat="false" ht="13.8" hidden="false" customHeight="false" outlineLevel="0" collapsed="false">
      <c r="A9" s="8"/>
      <c r="B9" s="9"/>
      <c r="C9" s="10" t="str">
        <f aca="false">IF(D9&lt;&gt;"","▪","")</f>
        <v/>
      </c>
      <c r="D9" s="11"/>
    </row>
    <row r="10" customFormat="false" ht="17.35" hidden="false" customHeight="false" outlineLevel="0" collapsed="false">
      <c r="A10" s="12" t="s">
        <v>4</v>
      </c>
      <c r="B10" s="13"/>
      <c r="C10" s="13"/>
      <c r="D10" s="14"/>
    </row>
    <row r="11" customFormat="false" ht="13.8" hidden="false" customHeight="false" outlineLevel="0" collapsed="false">
      <c r="A11" s="8"/>
      <c r="B11" s="9" t="s">
        <v>2</v>
      </c>
      <c r="C11" s="9"/>
      <c r="D11" s="11"/>
    </row>
    <row r="12" customFormat="false" ht="13.8" hidden="false" customHeight="false" outlineLevel="0" collapsed="false">
      <c r="A12" s="8"/>
      <c r="B12" s="9"/>
      <c r="C12" s="10" t="str">
        <f aca="false">IF(D12&lt;&gt;"","▪","")</f>
        <v>▪</v>
      </c>
      <c r="D12" s="11" t="s">
        <v>5</v>
      </c>
    </row>
    <row r="13" customFormat="false" ht="13.8" hidden="false" customHeight="false" outlineLevel="0" collapsed="false">
      <c r="A13" s="8"/>
      <c r="B13" s="9" t="s">
        <v>6</v>
      </c>
      <c r="C13" s="9"/>
      <c r="D13" s="11"/>
    </row>
    <row r="14" customFormat="false" ht="13.8" hidden="false" customHeight="false" outlineLevel="0" collapsed="false">
      <c r="A14" s="8"/>
      <c r="B14" s="9"/>
      <c r="C14" s="10" t="str">
        <f aca="false">IF(D14&lt;&gt;"","▪","")</f>
        <v>▪</v>
      </c>
      <c r="D14" s="11" t="s">
        <v>7</v>
      </c>
    </row>
    <row r="15" customFormat="false" ht="13.8" hidden="false" customHeight="false" outlineLevel="0" collapsed="false">
      <c r="A15" s="8"/>
      <c r="C15" s="10" t="str">
        <f aca="false">IF(D15&lt;&gt;"","▪","")</f>
        <v>▪</v>
      </c>
      <c r="D15" s="11" t="s">
        <v>8</v>
      </c>
    </row>
    <row r="16" customFormat="false" ht="12.75" hidden="false" customHeight="false" outlineLevel="0" collapsed="false">
      <c r="A16" s="2"/>
      <c r="D16" s="15"/>
    </row>
    <row r="17" customFormat="false" ht="17.35" hidden="false" customHeight="false" outlineLevel="0" collapsed="false">
      <c r="A17" s="12" t="s">
        <v>9</v>
      </c>
      <c r="B17" s="13"/>
      <c r="C17" s="13"/>
      <c r="D17" s="14"/>
    </row>
    <row r="18" customFormat="false" ht="13.8" hidden="false" customHeight="false" outlineLevel="0" collapsed="false">
      <c r="A18" s="8"/>
      <c r="B18" s="9" t="s">
        <v>2</v>
      </c>
      <c r="C18" s="9"/>
      <c r="D18" s="11"/>
    </row>
    <row r="19" customFormat="false" ht="13.8" hidden="false" customHeight="false" outlineLevel="0" collapsed="false">
      <c r="A19" s="8"/>
      <c r="B19" s="9"/>
      <c r="C19" s="10" t="str">
        <f aca="false">IF(D19&lt;&gt;"","▪","")</f>
        <v>▪</v>
      </c>
      <c r="D19" s="11" t="s">
        <v>5</v>
      </c>
    </row>
    <row r="20" customFormat="false" ht="13.8" hidden="false" customHeight="false" outlineLevel="0" collapsed="false">
      <c r="A20" s="8"/>
      <c r="B20" s="9"/>
      <c r="C20" s="10" t="str">
        <f aca="false">IF(D20&lt;&gt;"","▪","")</f>
        <v>▪</v>
      </c>
      <c r="D20" s="11" t="s">
        <v>10</v>
      </c>
    </row>
    <row r="21" customFormat="false" ht="13.8" hidden="false" customHeight="false" outlineLevel="0" collapsed="false">
      <c r="A21" s="8"/>
      <c r="B21" s="9" t="s">
        <v>11</v>
      </c>
      <c r="C21" s="9"/>
      <c r="D21" s="11"/>
    </row>
    <row r="22" customFormat="false" ht="13.8" hidden="false" customHeight="false" outlineLevel="0" collapsed="false">
      <c r="A22" s="8"/>
      <c r="B22" s="9"/>
      <c r="C22" s="10" t="str">
        <f aca="false">IF(D22&lt;&gt;"","▪","")</f>
        <v>▪</v>
      </c>
      <c r="D22" s="11" t="s">
        <v>12</v>
      </c>
    </row>
    <row r="23" customFormat="false" ht="13.8" hidden="false" customHeight="false" outlineLevel="0" collapsed="false">
      <c r="A23" s="8"/>
      <c r="B23" s="9" t="s">
        <v>13</v>
      </c>
      <c r="C23" s="9"/>
      <c r="D23" s="11"/>
    </row>
    <row r="24" customFormat="false" ht="13.8" hidden="false" customHeight="false" outlineLevel="0" collapsed="false">
      <c r="A24" s="8"/>
      <c r="B24" s="9"/>
      <c r="C24" s="10" t="str">
        <f aca="false">IF(D24&lt;&gt;"","▪","")</f>
        <v>▪</v>
      </c>
      <c r="D24" s="11" t="s">
        <v>14</v>
      </c>
    </row>
    <row r="25" customFormat="false" ht="13.8" hidden="false" customHeight="false" outlineLevel="0" collapsed="false">
      <c r="A25" s="8"/>
      <c r="B25" s="9" t="s">
        <v>15</v>
      </c>
      <c r="C25" s="9"/>
      <c r="D25" s="11"/>
    </row>
    <row r="26" customFormat="false" ht="13.8" hidden="false" customHeight="false" outlineLevel="0" collapsed="false">
      <c r="A26" s="8"/>
      <c r="B26" s="9"/>
      <c r="C26" s="10" t="str">
        <f aca="false">IF(D26&lt;&gt;"","▪","")</f>
        <v>▪</v>
      </c>
      <c r="D26" s="11" t="s">
        <v>16</v>
      </c>
    </row>
    <row r="27" customFormat="false" ht="13.8" hidden="false" customHeight="false" outlineLevel="0" collapsed="false">
      <c r="A27" s="8"/>
      <c r="B27" s="9" t="s">
        <v>17</v>
      </c>
      <c r="C27" s="9"/>
      <c r="D27" s="11"/>
    </row>
    <row r="28" customFormat="false" ht="13.8" hidden="false" customHeight="false" outlineLevel="0" collapsed="false">
      <c r="A28" s="8"/>
      <c r="B28" s="9"/>
      <c r="C28" s="10" t="str">
        <f aca="false">IF(D28&lt;&gt;"","▪","")</f>
        <v>▪</v>
      </c>
      <c r="D28" s="11" t="s">
        <v>18</v>
      </c>
    </row>
    <row r="29" customFormat="false" ht="12.75" hidden="false" customHeight="false" outlineLevel="0" collapsed="false">
      <c r="A29" s="2"/>
      <c r="D29" s="15"/>
    </row>
    <row r="30" customFormat="false" ht="17.35" hidden="false" customHeight="false" outlineLevel="0" collapsed="false">
      <c r="A30" s="12" t="s">
        <v>19</v>
      </c>
      <c r="B30" s="13"/>
      <c r="C30" s="13"/>
      <c r="D30" s="14"/>
    </row>
    <row r="31" customFormat="false" ht="13.8" hidden="false" customHeight="false" outlineLevel="0" collapsed="false">
      <c r="A31" s="8"/>
      <c r="B31" s="9" t="s">
        <v>2</v>
      </c>
      <c r="C31" s="9"/>
      <c r="D31" s="11"/>
    </row>
    <row r="32" customFormat="false" ht="13.8" hidden="false" customHeight="false" outlineLevel="0" collapsed="false">
      <c r="A32" s="8"/>
      <c r="B32" s="9"/>
      <c r="C32" s="10" t="str">
        <f aca="false">IF(D32&lt;&gt;"","▪","")</f>
        <v>▪</v>
      </c>
      <c r="D32" s="11" t="s">
        <v>10</v>
      </c>
    </row>
    <row r="33" customFormat="false" ht="13.8" hidden="false" customHeight="false" outlineLevel="0" collapsed="false">
      <c r="A33" s="8"/>
      <c r="B33" s="9" t="s">
        <v>20</v>
      </c>
      <c r="C33" s="10"/>
      <c r="D33" s="11"/>
    </row>
    <row r="34" customFormat="false" ht="13.8" hidden="false" customHeight="false" outlineLevel="0" collapsed="false">
      <c r="A34" s="8"/>
      <c r="B34" s="9"/>
      <c r="C34" s="10" t="str">
        <f aca="false">IF(D34&lt;&gt;"","▪","")</f>
        <v>▪</v>
      </c>
      <c r="D34" s="11" t="s">
        <v>21</v>
      </c>
    </row>
    <row r="35" customFormat="false" ht="13.8" hidden="false" customHeight="false" outlineLevel="0" collapsed="false">
      <c r="A35" s="8"/>
      <c r="B35" s="9"/>
      <c r="C35" s="9"/>
      <c r="D35" s="16"/>
      <c r="E35" s="9"/>
    </row>
    <row r="36" customFormat="false" ht="12.75" hidden="false" customHeight="false" outlineLevel="0" collapsed="false">
      <c r="A36" s="2"/>
      <c r="D36" s="15"/>
    </row>
    <row r="37" customFormat="false" ht="17.35" hidden="false" customHeight="false" outlineLevel="0" collapsed="false">
      <c r="A37" s="12" t="s">
        <v>22</v>
      </c>
      <c r="B37" s="13"/>
      <c r="C37" s="13"/>
      <c r="D37" s="14"/>
    </row>
    <row r="38" customFormat="false" ht="13.8" hidden="false" customHeight="false" outlineLevel="0" collapsed="false">
      <c r="A38" s="8"/>
      <c r="B38" s="9" t="s">
        <v>23</v>
      </c>
      <c r="C38" s="9"/>
      <c r="D38" s="11"/>
    </row>
    <row r="39" customFormat="false" ht="13.8" hidden="false" customHeight="false" outlineLevel="0" collapsed="false">
      <c r="A39" s="8"/>
      <c r="B39" s="9"/>
      <c r="C39" s="10" t="str">
        <f aca="false">IF(D39&lt;&gt;"","▪","")</f>
        <v>▪</v>
      </c>
      <c r="D39" s="11" t="s">
        <v>24</v>
      </c>
    </row>
    <row r="40" customFormat="false" ht="13.8" hidden="false" customHeight="false" outlineLevel="0" collapsed="false">
      <c r="A40" s="8"/>
      <c r="B40" s="9" t="s">
        <v>13</v>
      </c>
      <c r="C40" s="9"/>
      <c r="D40" s="11"/>
    </row>
    <row r="41" customFormat="false" ht="13.8" hidden="false" customHeight="false" outlineLevel="0" collapsed="false">
      <c r="A41" s="8"/>
      <c r="B41" s="9"/>
      <c r="C41" s="10" t="str">
        <f aca="false">IF(D41&lt;&gt;"","▪","")</f>
        <v>▪</v>
      </c>
      <c r="D41" s="11" t="s">
        <v>25</v>
      </c>
    </row>
    <row r="42" customFormat="false" ht="13.8" hidden="false" customHeight="false" outlineLevel="0" collapsed="false">
      <c r="A42" s="8"/>
      <c r="B42" s="9" t="s">
        <v>15</v>
      </c>
      <c r="C42" s="9"/>
      <c r="D42" s="11"/>
      <c r="E42" s="9"/>
    </row>
    <row r="43" customFormat="false" ht="13.8" hidden="false" customHeight="false" outlineLevel="0" collapsed="false">
      <c r="A43" s="8"/>
      <c r="B43" s="9"/>
      <c r="C43" s="10" t="str">
        <f aca="false">IF(D43&lt;&gt;"","▪","")</f>
        <v>▪</v>
      </c>
      <c r="D43" s="11" t="s">
        <v>26</v>
      </c>
    </row>
    <row r="44" customFormat="false" ht="13.8" hidden="false" customHeight="false" outlineLevel="0" collapsed="false">
      <c r="A44" s="8"/>
      <c r="B44" s="9"/>
      <c r="C44" s="9"/>
      <c r="D44" s="16"/>
    </row>
    <row r="45" customFormat="false" ht="17.35" hidden="false" customHeight="false" outlineLevel="0" collapsed="false">
      <c r="A45" s="12" t="s">
        <v>27</v>
      </c>
      <c r="B45" s="13"/>
      <c r="C45" s="13"/>
      <c r="D45" s="14"/>
    </row>
    <row r="46" customFormat="false" ht="13.8" hidden="false" customHeight="false" outlineLevel="0" collapsed="false">
      <c r="A46" s="8"/>
      <c r="B46" s="9" t="s">
        <v>2</v>
      </c>
      <c r="C46" s="9"/>
      <c r="D46" s="11"/>
    </row>
    <row r="47" customFormat="false" ht="13.8" hidden="false" customHeight="false" outlineLevel="0" collapsed="false">
      <c r="A47" s="8"/>
      <c r="B47" s="9"/>
      <c r="C47" s="10" t="str">
        <f aca="false">IF(D47&lt;&gt;"","▪","")</f>
        <v>▪</v>
      </c>
      <c r="D47" s="11" t="s">
        <v>28</v>
      </c>
    </row>
    <row r="48" customFormat="false" ht="13.8" hidden="false" customHeight="false" outlineLevel="0" collapsed="false">
      <c r="A48" s="8"/>
      <c r="B48" s="9"/>
      <c r="C48" s="9"/>
      <c r="D48" s="16"/>
    </row>
    <row r="49" customFormat="false" ht="17.35" hidden="false" customHeight="false" outlineLevel="0" collapsed="false">
      <c r="A49" s="12" t="s">
        <v>29</v>
      </c>
      <c r="B49" s="13"/>
      <c r="C49" s="13"/>
      <c r="D49" s="14"/>
    </row>
    <row r="50" customFormat="false" ht="13.8" hidden="false" customHeight="false" outlineLevel="0" collapsed="false">
      <c r="A50" s="8"/>
      <c r="B50" s="9" t="s">
        <v>2</v>
      </c>
      <c r="C50" s="9"/>
      <c r="D50" s="11"/>
    </row>
    <row r="51" customFormat="false" ht="13.8" hidden="false" customHeight="false" outlineLevel="0" collapsed="false">
      <c r="A51" s="8"/>
      <c r="B51" s="9"/>
      <c r="C51" s="10" t="str">
        <f aca="false">IF(D51&lt;&gt;"","▪","")</f>
        <v>▪</v>
      </c>
      <c r="D51" s="11" t="s">
        <v>30</v>
      </c>
    </row>
    <row r="52" customFormat="false" ht="13.8" hidden="false" customHeight="false" outlineLevel="0" collapsed="false">
      <c r="A52" s="8"/>
      <c r="B52" s="9"/>
      <c r="C52" s="10" t="str">
        <f aca="false">IF(D52&lt;&gt;"","▪","")</f>
        <v>▪</v>
      </c>
      <c r="D52" s="11" t="s">
        <v>31</v>
      </c>
    </row>
    <row r="53" customFormat="false" ht="13.8" hidden="false" customHeight="false" outlineLevel="0" collapsed="false">
      <c r="A53" s="8"/>
      <c r="B53" s="9"/>
      <c r="C53" s="9"/>
      <c r="D53" s="16"/>
    </row>
    <row r="54" customFormat="false" ht="17.35" hidden="false" customHeight="false" outlineLevel="0" collapsed="false">
      <c r="A54" s="12" t="s">
        <v>32</v>
      </c>
      <c r="B54" s="13"/>
      <c r="C54" s="13"/>
      <c r="D54" s="14"/>
    </row>
    <row r="55" customFormat="false" ht="13.8" hidden="false" customHeight="false" outlineLevel="0" collapsed="false">
      <c r="A55" s="8"/>
      <c r="B55" s="9" t="s">
        <v>2</v>
      </c>
      <c r="C55" s="9"/>
      <c r="D55" s="11"/>
    </row>
    <row r="56" customFormat="false" ht="13.8" hidden="false" customHeight="false" outlineLevel="0" collapsed="false">
      <c r="A56" s="8"/>
      <c r="B56" s="9"/>
      <c r="C56" s="10" t="str">
        <f aca="false">IF(D56&lt;&gt;"","▪","")</f>
        <v>▪</v>
      </c>
      <c r="D56" s="11" t="s">
        <v>33</v>
      </c>
    </row>
    <row r="57" customFormat="false" ht="30" hidden="false" customHeight="true" outlineLevel="0" collapsed="false">
      <c r="A57" s="8"/>
      <c r="B57" s="9"/>
      <c r="C57" s="10" t="str">
        <f aca="false">IF(D57&lt;&gt;"","▪","")</f>
        <v>▪</v>
      </c>
      <c r="D57" s="11" t="s">
        <v>34</v>
      </c>
    </row>
    <row r="58" customFormat="false" ht="30" hidden="false" customHeight="true" outlineLevel="0" collapsed="false">
      <c r="A58" s="8"/>
      <c r="B58" s="9"/>
      <c r="C58" s="10" t="str">
        <f aca="false">IF(D58&lt;&gt;"","▪","")</f>
        <v>▪</v>
      </c>
      <c r="D58" s="11" t="s">
        <v>35</v>
      </c>
    </row>
    <row r="59" customFormat="false" ht="30" hidden="false" customHeight="true" outlineLevel="0" collapsed="false">
      <c r="A59" s="8"/>
      <c r="B59" s="9"/>
      <c r="C59" s="10" t="str">
        <f aca="false">IF(D59&lt;&gt;"","▪","")</f>
        <v>▪</v>
      </c>
      <c r="D59" s="11" t="s">
        <v>36</v>
      </c>
    </row>
    <row r="60" customFormat="false" ht="13.8" hidden="false" customHeight="false" outlineLevel="0" collapsed="false">
      <c r="A60" s="8"/>
      <c r="B60" s="9"/>
      <c r="C60" s="10" t="str">
        <f aca="false">IF(D60&lt;&gt;"","▪","")</f>
        <v>▪</v>
      </c>
      <c r="D60" s="11" t="s">
        <v>37</v>
      </c>
    </row>
    <row r="61" customFormat="false" ht="13.8" hidden="false" customHeight="false" outlineLevel="0" collapsed="false">
      <c r="A61" s="8"/>
      <c r="B61" s="9"/>
      <c r="C61" s="10" t="str">
        <f aca="false">IF(D61&lt;&gt;"","▪","")</f>
        <v>▪</v>
      </c>
      <c r="D61" s="11" t="s">
        <v>38</v>
      </c>
    </row>
    <row r="62" customFormat="false" ht="30" hidden="false" customHeight="true" outlineLevel="0" collapsed="false">
      <c r="A62" s="8"/>
      <c r="B62" s="9"/>
      <c r="C62" s="10" t="str">
        <f aca="false">IF(D62&lt;&gt;"","▪","")</f>
        <v>▪</v>
      </c>
      <c r="D62" s="11" t="s">
        <v>39</v>
      </c>
    </row>
    <row r="63" customFormat="false" ht="13.8" hidden="false" customHeight="false" outlineLevel="0" collapsed="false">
      <c r="A63" s="8"/>
      <c r="B63" s="9" t="s">
        <v>40</v>
      </c>
      <c r="C63" s="9"/>
      <c r="D63" s="11"/>
    </row>
    <row r="64" customFormat="false" ht="13.8" hidden="false" customHeight="false" outlineLevel="0" collapsed="false">
      <c r="A64" s="8"/>
      <c r="B64" s="9"/>
      <c r="C64" s="10" t="str">
        <f aca="false">IF(D64&lt;&gt;"","▪","")</f>
        <v>▪</v>
      </c>
      <c r="D64" s="11" t="s">
        <v>41</v>
      </c>
    </row>
    <row r="65" customFormat="false" ht="13.8" hidden="false" customHeight="false" outlineLevel="0" collapsed="false">
      <c r="A65" s="8"/>
      <c r="B65" s="9"/>
      <c r="C65" s="10" t="str">
        <f aca="false">IF(D65&lt;&gt;"","▪","")</f>
        <v>▪</v>
      </c>
      <c r="D65" s="11" t="s">
        <v>42</v>
      </c>
    </row>
    <row r="66" customFormat="false" ht="13.8" hidden="false" customHeight="false" outlineLevel="0" collapsed="false">
      <c r="A66" s="8"/>
      <c r="B66" s="9"/>
      <c r="C66" s="10"/>
      <c r="D66" s="17" t="s">
        <v>43</v>
      </c>
    </row>
    <row r="67" customFormat="false" ht="13.8" hidden="false" customHeight="false" outlineLevel="0" collapsed="false">
      <c r="A67" s="8"/>
      <c r="B67" s="9"/>
      <c r="C67" s="10" t="str">
        <f aca="false">IF(D67&lt;&gt;"","▪","")</f>
        <v>▪</v>
      </c>
      <c r="D67" s="11" t="s">
        <v>44</v>
      </c>
    </row>
    <row r="68" customFormat="false" ht="13.8" hidden="false" customHeight="false" outlineLevel="0" collapsed="false">
      <c r="A68" s="8"/>
      <c r="B68" s="9"/>
      <c r="C68" s="10"/>
      <c r="D68" s="17" t="s">
        <v>45</v>
      </c>
    </row>
    <row r="69" customFormat="false" ht="13.8" hidden="false" customHeight="false" outlineLevel="0" collapsed="false">
      <c r="A69" s="8"/>
      <c r="B69" s="9"/>
      <c r="C69" s="10" t="str">
        <f aca="false">IF(D69&lt;&gt;"","▪","")</f>
        <v>▪</v>
      </c>
      <c r="D69" s="11" t="s">
        <v>46</v>
      </c>
    </row>
    <row r="70" customFormat="false" ht="13.8" hidden="false" customHeight="false" outlineLevel="0" collapsed="false">
      <c r="A70" s="8"/>
      <c r="B70" s="9"/>
      <c r="C70" s="10" t="str">
        <f aca="false">IF(D70&lt;&gt;"","▪","")</f>
        <v>▪</v>
      </c>
      <c r="D70" s="11" t="s">
        <v>47</v>
      </c>
    </row>
    <row r="71" customFormat="false" ht="13.8" hidden="false" customHeight="false" outlineLevel="0" collapsed="false">
      <c r="A71" s="8"/>
      <c r="B71" s="9" t="s">
        <v>23</v>
      </c>
      <c r="C71" s="9"/>
      <c r="D71" s="11"/>
    </row>
    <row r="72" customFormat="false" ht="13.8" hidden="false" customHeight="false" outlineLevel="0" collapsed="false">
      <c r="A72" s="8"/>
      <c r="B72" s="9"/>
      <c r="C72" s="10" t="str">
        <f aca="false">IF(D72&lt;&gt;"","▪","")</f>
        <v>▪</v>
      </c>
      <c r="D72" s="11" t="s">
        <v>48</v>
      </c>
    </row>
    <row r="73" customFormat="false" ht="13.8" hidden="false" customHeight="false" outlineLevel="0" collapsed="false">
      <c r="A73" s="8"/>
      <c r="B73" s="9" t="s">
        <v>49</v>
      </c>
      <c r="C73" s="9"/>
      <c r="D73" s="11"/>
    </row>
    <row r="74" customFormat="false" ht="13.8" hidden="false" customHeight="false" outlineLevel="0" collapsed="false">
      <c r="A74" s="8"/>
      <c r="B74" s="9"/>
      <c r="C74" s="10" t="str">
        <f aca="false">IF(D74&lt;&gt;"","▪","")</f>
        <v>▪</v>
      </c>
      <c r="D74" s="11" t="s">
        <v>50</v>
      </c>
    </row>
    <row r="75" customFormat="false" ht="13.8" hidden="false" customHeight="false" outlineLevel="0" collapsed="false">
      <c r="A75" s="8"/>
      <c r="B75" s="9"/>
      <c r="C75" s="10" t="str">
        <f aca="false">IF(D75&lt;&gt;"","▪","")</f>
        <v>▪</v>
      </c>
      <c r="D75" s="11" t="s">
        <v>51</v>
      </c>
    </row>
    <row r="76" customFormat="false" ht="13.8" hidden="false" customHeight="false" outlineLevel="0" collapsed="false">
      <c r="A76" s="8"/>
      <c r="B76" s="9"/>
      <c r="C76" s="10" t="str">
        <f aca="false">IF(D76&lt;&gt;"","▪","")</f>
        <v>▪</v>
      </c>
      <c r="D76" s="11" t="s">
        <v>52</v>
      </c>
    </row>
    <row r="77" customFormat="false" ht="13.8" hidden="false" customHeight="false" outlineLevel="0" collapsed="false">
      <c r="A77" s="8"/>
      <c r="B77" s="9"/>
      <c r="C77" s="10" t="str">
        <f aca="false">IF(D77&lt;&gt;"","▪","")</f>
        <v>▪</v>
      </c>
      <c r="D77" s="11" t="s">
        <v>53</v>
      </c>
    </row>
    <row r="78" customFormat="false" ht="13.8" hidden="false" customHeight="false" outlineLevel="0" collapsed="false">
      <c r="A78" s="8"/>
      <c r="B78" s="9" t="s">
        <v>54</v>
      </c>
      <c r="C78" s="9"/>
      <c r="D78" s="11"/>
    </row>
    <row r="79" customFormat="false" ht="13.8" hidden="false" customHeight="false" outlineLevel="0" collapsed="false">
      <c r="A79" s="8"/>
      <c r="B79" s="9"/>
      <c r="C79" s="10" t="str">
        <f aca="false">IF(D79&lt;&gt;"","▪","")</f>
        <v>▪</v>
      </c>
      <c r="D79" s="11" t="s">
        <v>50</v>
      </c>
    </row>
    <row r="80" customFormat="false" ht="13.8" hidden="false" customHeight="false" outlineLevel="0" collapsed="false">
      <c r="A80" s="8"/>
      <c r="B80" s="9"/>
      <c r="C80" s="10" t="str">
        <f aca="false">IF(D80&lt;&gt;"","▪","")</f>
        <v>▪</v>
      </c>
      <c r="D80" s="11" t="s">
        <v>55</v>
      </c>
    </row>
    <row r="81" customFormat="false" ht="13.8" hidden="false" customHeight="false" outlineLevel="0" collapsed="false">
      <c r="A81" s="8"/>
      <c r="B81" s="9"/>
      <c r="C81" s="10" t="str">
        <f aca="false">IF(D81&lt;&gt;"","▪","")</f>
        <v>▪</v>
      </c>
      <c r="D81" s="11" t="s">
        <v>52</v>
      </c>
    </row>
    <row r="82" customFormat="false" ht="13.8" hidden="false" customHeight="false" outlineLevel="0" collapsed="false">
      <c r="A82" s="8"/>
      <c r="B82" s="9"/>
      <c r="C82" s="10" t="str">
        <f aca="false">IF(D82&lt;&gt;"","▪","")</f>
        <v>▪</v>
      </c>
      <c r="D82" s="11" t="s">
        <v>53</v>
      </c>
    </row>
    <row r="83" customFormat="false" ht="13.8" hidden="false" customHeight="false" outlineLevel="0" collapsed="false">
      <c r="A83" s="8"/>
      <c r="B83" s="9" t="s">
        <v>17</v>
      </c>
      <c r="C83" s="9"/>
      <c r="D83" s="11"/>
    </row>
    <row r="84" customFormat="false" ht="19.5" hidden="false" customHeight="true" outlineLevel="0" collapsed="false">
      <c r="A84" s="8"/>
      <c r="B84" s="9"/>
      <c r="C84" s="10" t="str">
        <f aca="false">IF(D84&lt;&gt;"","▪","")</f>
        <v>▪</v>
      </c>
      <c r="D84" s="11" t="s">
        <v>56</v>
      </c>
    </row>
    <row r="85" customFormat="false" ht="13.8" hidden="false" customHeight="false" outlineLevel="0" collapsed="false">
      <c r="A85" s="8"/>
      <c r="B85" s="9" t="s">
        <v>57</v>
      </c>
      <c r="C85" s="9"/>
      <c r="D85" s="11"/>
    </row>
    <row r="86" customFormat="false" ht="19.5" hidden="false" customHeight="true" outlineLevel="0" collapsed="false">
      <c r="A86" s="8"/>
      <c r="B86" s="9"/>
      <c r="C86" s="10" t="str">
        <f aca="false">IF(D86&lt;&gt;"","▪","")</f>
        <v>▪</v>
      </c>
      <c r="D86" s="11" t="s">
        <v>58</v>
      </c>
    </row>
    <row r="87" customFormat="false" ht="13.8" hidden="false" customHeight="false" outlineLevel="0" collapsed="false">
      <c r="A87" s="2"/>
      <c r="B87" s="18"/>
      <c r="C87" s="18"/>
      <c r="D87" s="19"/>
    </row>
    <row r="88" customFormat="false" ht="17.35" hidden="false" customHeight="false" outlineLevel="0" collapsed="false">
      <c r="A88" s="12" t="s">
        <v>59</v>
      </c>
      <c r="B88" s="13"/>
      <c r="C88" s="13"/>
      <c r="D88" s="14"/>
    </row>
    <row r="89" customFormat="false" ht="13.8" hidden="false" customHeight="false" outlineLevel="0" collapsed="false">
      <c r="A89" s="8"/>
      <c r="B89" s="9" t="s">
        <v>2</v>
      </c>
      <c r="C89" s="9"/>
      <c r="D89" s="11"/>
    </row>
    <row r="90" customFormat="false" ht="13.8" hidden="false" customHeight="false" outlineLevel="0" collapsed="false">
      <c r="A90" s="8"/>
      <c r="B90" s="9"/>
      <c r="C90" s="10" t="str">
        <f aca="false">IF(D90&lt;&gt;"","▪","")</f>
        <v>▪</v>
      </c>
      <c r="D90" s="11" t="s">
        <v>60</v>
      </c>
    </row>
    <row r="91" customFormat="false" ht="13.8" hidden="false" customHeight="false" outlineLevel="0" collapsed="false">
      <c r="A91" s="8"/>
      <c r="B91" s="9" t="s">
        <v>40</v>
      </c>
      <c r="C91" s="9"/>
      <c r="D91" s="11"/>
    </row>
    <row r="92" customFormat="false" ht="13.8" hidden="false" customHeight="false" outlineLevel="0" collapsed="false">
      <c r="A92" s="8"/>
      <c r="B92" s="9"/>
      <c r="C92" s="10" t="str">
        <f aca="false">IF(D92&lt;&gt;"","▪","")</f>
        <v>▪</v>
      </c>
      <c r="D92" s="11" t="s">
        <v>61</v>
      </c>
    </row>
    <row r="93" customFormat="false" ht="35.05" hidden="false" customHeight="false" outlineLevel="0" collapsed="false">
      <c r="A93" s="8"/>
      <c r="B93" s="9"/>
      <c r="C93" s="10" t="str">
        <f aca="false">IF(D93&lt;&gt;"","▪","")</f>
        <v>▪</v>
      </c>
      <c r="D93" s="11" t="s">
        <v>62</v>
      </c>
    </row>
    <row r="94" customFormat="false" ht="23.85" hidden="false" customHeight="false" outlineLevel="0" collapsed="false">
      <c r="A94" s="8"/>
      <c r="B94" s="9"/>
      <c r="C94" s="10" t="str">
        <f aca="false">IF(D94&lt;&gt;"","▪","")</f>
        <v>▪</v>
      </c>
      <c r="D94" s="11" t="s">
        <v>63</v>
      </c>
    </row>
    <row r="95" customFormat="false" ht="13.8" hidden="false" customHeight="false" outlineLevel="0" collapsed="false">
      <c r="A95" s="8"/>
      <c r="B95" s="9" t="s">
        <v>23</v>
      </c>
      <c r="C95" s="9"/>
      <c r="D95" s="11"/>
    </row>
    <row r="96" customFormat="false" ht="13.8" hidden="false" customHeight="false" outlineLevel="0" collapsed="false">
      <c r="A96" s="8"/>
      <c r="B96" s="9"/>
      <c r="C96" s="10" t="str">
        <f aca="false">IF(D96&lt;&gt;"","▪","")</f>
        <v>▪</v>
      </c>
      <c r="D96" s="11" t="s">
        <v>64</v>
      </c>
    </row>
    <row r="97" customFormat="false" ht="13.8" hidden="false" customHeight="false" outlineLevel="0" collapsed="false">
      <c r="A97" s="8"/>
      <c r="B97" s="9" t="s">
        <v>11</v>
      </c>
      <c r="C97" s="9"/>
      <c r="D97" s="11"/>
    </row>
    <row r="98" customFormat="false" ht="13.8" hidden="false" customHeight="false" outlineLevel="0" collapsed="false">
      <c r="A98" s="8"/>
      <c r="B98" s="9"/>
      <c r="C98" s="10" t="str">
        <f aca="false">IF(D98&lt;&gt;"","▪","")</f>
        <v>▪</v>
      </c>
      <c r="D98" s="11" t="s">
        <v>65</v>
      </c>
    </row>
    <row r="99" customFormat="false" ht="13.8" hidden="false" customHeight="false" outlineLevel="0" collapsed="false">
      <c r="A99" s="8"/>
      <c r="B99" s="9" t="s">
        <v>49</v>
      </c>
      <c r="C99" s="9"/>
      <c r="D99" s="11"/>
    </row>
    <row r="100" customFormat="false" ht="23.85" hidden="false" customHeight="false" outlineLevel="0" collapsed="false">
      <c r="A100" s="8"/>
      <c r="B100" s="9"/>
      <c r="C100" s="10" t="str">
        <f aca="false">IF(D100&lt;&gt;"","▪","")</f>
        <v>▪</v>
      </c>
      <c r="D100" s="11" t="s">
        <v>66</v>
      </c>
    </row>
    <row r="101" customFormat="false" ht="13.8" hidden="false" customHeight="false" outlineLevel="0" collapsed="false">
      <c r="A101" s="8"/>
      <c r="B101" s="9"/>
      <c r="C101" s="10" t="str">
        <f aca="false">IF(D101&lt;&gt;"","▪","")</f>
        <v>▪</v>
      </c>
      <c r="D101" s="11" t="s">
        <v>67</v>
      </c>
    </row>
    <row r="102" customFormat="false" ht="13.8" hidden="false" customHeight="false" outlineLevel="0" collapsed="false">
      <c r="A102" s="8"/>
      <c r="B102" s="9" t="s">
        <v>20</v>
      </c>
      <c r="C102" s="9"/>
      <c r="D102" s="11"/>
    </row>
    <row r="103" customFormat="false" ht="13.8" hidden="false" customHeight="false" outlineLevel="0" collapsed="false">
      <c r="A103" s="8"/>
      <c r="B103" s="9"/>
      <c r="C103" s="10" t="str">
        <f aca="false">IF(D103&lt;&gt;"","▪","")</f>
        <v>▪</v>
      </c>
      <c r="D103" s="11" t="s">
        <v>68</v>
      </c>
    </row>
    <row r="104" customFormat="false" ht="13.8" hidden="false" customHeight="false" outlineLevel="0" collapsed="false">
      <c r="A104" s="8"/>
      <c r="B104" s="9" t="s">
        <v>54</v>
      </c>
      <c r="C104" s="9"/>
      <c r="D104" s="11"/>
    </row>
    <row r="105" customFormat="false" ht="13.8" hidden="false" customHeight="false" outlineLevel="0" collapsed="false">
      <c r="A105" s="8"/>
      <c r="B105" s="9"/>
      <c r="C105" s="10" t="str">
        <f aca="false">IF(D105&lt;&gt;"","▪","")</f>
        <v>▪</v>
      </c>
      <c r="D105" s="11" t="s">
        <v>69</v>
      </c>
    </row>
    <row r="106" customFormat="false" ht="13.8" hidden="false" customHeight="false" outlineLevel="0" collapsed="false">
      <c r="A106" s="8"/>
      <c r="B106" s="9"/>
      <c r="C106" s="10" t="str">
        <f aca="false">IF(D106&lt;&gt;"","▪","")</f>
        <v>▪</v>
      </c>
      <c r="D106" s="11" t="s">
        <v>70</v>
      </c>
    </row>
    <row r="107" customFormat="false" ht="13.8" hidden="false" customHeight="false" outlineLevel="0" collapsed="false">
      <c r="A107" s="8"/>
      <c r="B107" s="9" t="s">
        <v>71</v>
      </c>
      <c r="C107" s="9"/>
      <c r="D107" s="11"/>
    </row>
    <row r="108" customFormat="false" ht="13.8" hidden="false" customHeight="false" outlineLevel="0" collapsed="false">
      <c r="A108" s="8"/>
      <c r="B108" s="9"/>
      <c r="C108" s="10" t="str">
        <f aca="false">IF(D108&lt;&gt;"","▪","")</f>
        <v>▪</v>
      </c>
      <c r="D108" s="11" t="s">
        <v>72</v>
      </c>
    </row>
    <row r="109" customFormat="false" ht="13.8" hidden="false" customHeight="false" outlineLevel="0" collapsed="false">
      <c r="A109" s="8"/>
      <c r="B109" s="9"/>
      <c r="C109" s="10" t="str">
        <f aca="false">IF(D109&lt;&gt;"","▪","")</f>
        <v>▪</v>
      </c>
      <c r="D109" s="11" t="s">
        <v>73</v>
      </c>
    </row>
    <row r="110" customFormat="false" ht="13.8" hidden="false" customHeight="false" outlineLevel="0" collapsed="false">
      <c r="A110" s="8"/>
      <c r="B110" s="9"/>
      <c r="C110" s="10" t="str">
        <f aca="false">IF(D110&lt;&gt;"","▪","")</f>
        <v>▪</v>
      </c>
      <c r="D110" s="11" t="s">
        <v>74</v>
      </c>
    </row>
    <row r="111" customFormat="false" ht="13.8" hidden="false" customHeight="false" outlineLevel="0" collapsed="false">
      <c r="A111" s="8"/>
      <c r="B111" s="9" t="s">
        <v>17</v>
      </c>
      <c r="C111" s="9"/>
      <c r="D111" s="11"/>
    </row>
    <row r="112" customFormat="false" ht="13.8" hidden="false" customHeight="false" outlineLevel="0" collapsed="false">
      <c r="A112" s="8"/>
      <c r="B112" s="9"/>
      <c r="C112" s="10" t="str">
        <f aca="false">IF(D112&lt;&gt;"","▪","")</f>
        <v>▪</v>
      </c>
      <c r="D112" s="11" t="s">
        <v>75</v>
      </c>
    </row>
    <row r="113" customFormat="false" ht="13.8" hidden="false" customHeight="false" outlineLevel="0" collapsed="false">
      <c r="A113" s="8"/>
      <c r="B113" s="9" t="s">
        <v>76</v>
      </c>
      <c r="C113" s="9"/>
      <c r="D113" s="11"/>
    </row>
    <row r="114" customFormat="false" ht="13.8" hidden="false" customHeight="false" outlineLevel="0" collapsed="false">
      <c r="A114" s="8"/>
      <c r="B114" s="9"/>
      <c r="C114" s="10" t="str">
        <f aca="false">IF(D114&lt;&gt;"","▪","")</f>
        <v>▪</v>
      </c>
      <c r="D114" s="11" t="s">
        <v>77</v>
      </c>
    </row>
    <row r="115" customFormat="false" ht="13.8" hidden="false" customHeight="false" outlineLevel="0" collapsed="false">
      <c r="A115" s="8"/>
      <c r="B115" s="9" t="s">
        <v>78</v>
      </c>
      <c r="C115" s="9"/>
      <c r="D115" s="11"/>
    </row>
    <row r="116" customFormat="false" ht="13.8" hidden="false" customHeight="false" outlineLevel="0" collapsed="false">
      <c r="A116" s="8"/>
      <c r="B116" s="9"/>
      <c r="C116" s="10" t="str">
        <f aca="false">IF(D116&lt;&gt;"","▪","")</f>
        <v>▪</v>
      </c>
      <c r="D116" s="11" t="s">
        <v>79</v>
      </c>
    </row>
    <row r="117" customFormat="false" ht="13.8" hidden="false" customHeight="false" outlineLevel="0" collapsed="false">
      <c r="A117" s="2"/>
      <c r="B117" s="18"/>
      <c r="C117" s="18"/>
      <c r="D117" s="19"/>
    </row>
    <row r="118" customFormat="false" ht="17.35" hidden="false" customHeight="false" outlineLevel="0" collapsed="false">
      <c r="A118" s="12" t="s">
        <v>80</v>
      </c>
      <c r="B118" s="13"/>
      <c r="C118" s="13"/>
      <c r="D118" s="14"/>
    </row>
    <row r="119" customFormat="false" ht="13.8" hidden="false" customHeight="false" outlineLevel="0" collapsed="false">
      <c r="A119" s="8"/>
      <c r="B119" s="9" t="s">
        <v>40</v>
      </c>
      <c r="C119" s="9"/>
      <c r="D119" s="11"/>
    </row>
    <row r="120" customFormat="false" ht="23.85" hidden="false" customHeight="false" outlineLevel="0" collapsed="false">
      <c r="A120" s="8"/>
      <c r="B120" s="9"/>
      <c r="C120" s="10" t="str">
        <f aca="false">IF(D120&lt;&gt;"","▪","")</f>
        <v>▪</v>
      </c>
      <c r="D120" s="11" t="s">
        <v>81</v>
      </c>
    </row>
    <row r="121" customFormat="false" ht="13.8" hidden="false" customHeight="false" outlineLevel="0" collapsed="false">
      <c r="A121" s="8"/>
      <c r="B121" s="9" t="s">
        <v>11</v>
      </c>
      <c r="C121" s="9"/>
      <c r="D121" s="11"/>
    </row>
    <row r="122" customFormat="false" ht="13.8" hidden="false" customHeight="false" outlineLevel="0" collapsed="false">
      <c r="A122" s="8"/>
      <c r="B122" s="9"/>
      <c r="C122" s="10" t="str">
        <f aca="false">IF(D122&lt;&gt;"","▪","")</f>
        <v>▪</v>
      </c>
      <c r="D122" s="11" t="s">
        <v>82</v>
      </c>
    </row>
    <row r="123" customFormat="false" ht="13.8" hidden="false" customHeight="false" outlineLevel="0" collapsed="false">
      <c r="A123" s="8"/>
      <c r="B123" s="9" t="s">
        <v>23</v>
      </c>
      <c r="C123" s="9"/>
      <c r="D123" s="11"/>
    </row>
    <row r="124" customFormat="false" ht="13.8" hidden="false" customHeight="false" outlineLevel="0" collapsed="false">
      <c r="A124" s="8"/>
      <c r="B124" s="9"/>
      <c r="C124" s="10" t="str">
        <f aca="false">IF(D124&lt;&gt;"","▪","")</f>
        <v>▪</v>
      </c>
      <c r="D124" s="11" t="s">
        <v>83</v>
      </c>
    </row>
    <row r="125" customFormat="false" ht="13.8" hidden="false" customHeight="false" outlineLevel="0" collapsed="false">
      <c r="A125" s="2"/>
      <c r="B125" s="18"/>
      <c r="C125" s="18"/>
      <c r="D125" s="19"/>
    </row>
    <row r="126" customFormat="false" ht="17.35" hidden="false" customHeight="false" outlineLevel="0" collapsed="false">
      <c r="A126" s="12" t="s">
        <v>84</v>
      </c>
      <c r="B126" s="13"/>
      <c r="C126" s="13"/>
      <c r="D126" s="14"/>
    </row>
    <row r="127" customFormat="false" ht="13.8" hidden="false" customHeight="false" outlineLevel="0" collapsed="false">
      <c r="A127" s="8"/>
      <c r="B127" s="9" t="s">
        <v>2</v>
      </c>
      <c r="C127" s="9"/>
      <c r="D127" s="11"/>
    </row>
    <row r="128" customFormat="false" ht="13.8" hidden="false" customHeight="false" outlineLevel="0" collapsed="false">
      <c r="A128" s="8"/>
      <c r="B128" s="9"/>
      <c r="C128" s="10" t="str">
        <f aca="false">IF(D128&lt;&gt;"","▪","")</f>
        <v>▪</v>
      </c>
      <c r="D128" s="11" t="s">
        <v>85</v>
      </c>
    </row>
    <row r="129" customFormat="false" ht="13.8" hidden="false" customHeight="false" outlineLevel="0" collapsed="false">
      <c r="A129" s="2"/>
      <c r="B129" s="18"/>
      <c r="C129" s="18"/>
      <c r="D129" s="19"/>
    </row>
    <row r="130" customFormat="false" ht="17.35" hidden="false" customHeight="false" outlineLevel="0" collapsed="false">
      <c r="A130" s="12" t="s">
        <v>86</v>
      </c>
      <c r="B130" s="13"/>
      <c r="C130" s="13"/>
      <c r="D130" s="14"/>
    </row>
    <row r="131" customFormat="false" ht="13.8" hidden="false" customHeight="false" outlineLevel="0" collapsed="false">
      <c r="A131" s="8"/>
      <c r="B131" s="9" t="s">
        <v>40</v>
      </c>
      <c r="C131" s="9"/>
      <c r="D131" s="11"/>
    </row>
    <row r="132" customFormat="false" ht="13.8" hidden="false" customHeight="false" outlineLevel="0" collapsed="false">
      <c r="A132" s="8"/>
      <c r="B132" s="9"/>
      <c r="C132" s="10" t="str">
        <f aca="false">IF(D132&lt;&gt;"","▪","")</f>
        <v>▪</v>
      </c>
      <c r="D132" s="11" t="s">
        <v>87</v>
      </c>
    </row>
    <row r="133" customFormat="false" ht="13.8" hidden="false" customHeight="false" outlineLevel="0" collapsed="false">
      <c r="A133" s="8"/>
      <c r="B133" s="9"/>
      <c r="C133" s="10" t="str">
        <f aca="false">IF(D133&lt;&gt;"","▪","")</f>
        <v>▪</v>
      </c>
      <c r="D133" s="11" t="s">
        <v>88</v>
      </c>
    </row>
    <row r="134" customFormat="false" ht="13.8" hidden="false" customHeight="false" outlineLevel="0" collapsed="false">
      <c r="A134" s="8"/>
      <c r="B134" s="9" t="s">
        <v>71</v>
      </c>
      <c r="C134" s="9"/>
      <c r="D134" s="11"/>
    </row>
    <row r="135" customFormat="false" ht="13.8" hidden="false" customHeight="false" outlineLevel="0" collapsed="false">
      <c r="A135" s="8"/>
      <c r="B135" s="9"/>
      <c r="C135" s="10" t="str">
        <f aca="false">IF(D135&lt;&gt;"","▪","")</f>
        <v>▪</v>
      </c>
      <c r="D135" s="11" t="s">
        <v>89</v>
      </c>
    </row>
    <row r="136" customFormat="false" ht="13.8" hidden="false" customHeight="false" outlineLevel="0" collapsed="false">
      <c r="A136" s="8"/>
      <c r="B136" s="9" t="s">
        <v>17</v>
      </c>
      <c r="C136" s="9"/>
      <c r="D136" s="11"/>
    </row>
    <row r="137" customFormat="false" ht="13.8" hidden="false" customHeight="false" outlineLevel="0" collapsed="false">
      <c r="A137" s="8"/>
      <c r="C137" s="10" t="str">
        <f aca="false">IF(D137&lt;&gt;"","▪","")</f>
        <v>▪</v>
      </c>
      <c r="D137" s="11" t="s">
        <v>90</v>
      </c>
    </row>
    <row r="138" customFormat="false" ht="13.8" hidden="false" customHeight="false" outlineLevel="0" collapsed="false">
      <c r="A138" s="2"/>
      <c r="B138" s="18"/>
      <c r="C138" s="18"/>
      <c r="D138" s="19"/>
    </row>
    <row r="139" customFormat="false" ht="17.35" hidden="false" customHeight="false" outlineLevel="0" collapsed="false">
      <c r="A139" s="12" t="s">
        <v>91</v>
      </c>
      <c r="B139" s="13"/>
      <c r="C139" s="13"/>
      <c r="D139" s="14"/>
    </row>
    <row r="140" customFormat="false" ht="13.8" hidden="false" customHeight="false" outlineLevel="0" collapsed="false">
      <c r="A140" s="8"/>
      <c r="B140" s="9" t="s">
        <v>40</v>
      </c>
      <c r="C140" s="9"/>
      <c r="D140" s="11"/>
    </row>
    <row r="141" customFormat="false" ht="13.8" hidden="false" customHeight="false" outlineLevel="0" collapsed="false">
      <c r="A141" s="8"/>
      <c r="B141" s="9"/>
      <c r="C141" s="10" t="str">
        <f aca="false">IF(D141&lt;&gt;"","▪","")</f>
        <v>▪</v>
      </c>
      <c r="D141" s="11" t="s">
        <v>92</v>
      </c>
    </row>
    <row r="142" customFormat="false" ht="13.8" hidden="false" customHeight="false" outlineLevel="0" collapsed="false">
      <c r="A142" s="8"/>
      <c r="B142" s="9" t="s">
        <v>23</v>
      </c>
      <c r="C142" s="9"/>
      <c r="D142" s="11"/>
    </row>
    <row r="143" customFormat="false" ht="13.8" hidden="false" customHeight="false" outlineLevel="0" collapsed="false">
      <c r="A143" s="8"/>
      <c r="B143" s="9"/>
      <c r="C143" s="10" t="str">
        <f aca="false">IF(D143&lt;&gt;"","▪","")</f>
        <v>▪</v>
      </c>
      <c r="D143" s="11" t="s">
        <v>93</v>
      </c>
    </row>
    <row r="144" customFormat="false" ht="13.8" hidden="false" customHeight="false" outlineLevel="0" collapsed="false">
      <c r="A144" s="8"/>
      <c r="B144" s="9" t="s">
        <v>11</v>
      </c>
      <c r="C144" s="9"/>
      <c r="D144" s="11"/>
    </row>
    <row r="145" customFormat="false" ht="13.8" hidden="false" customHeight="false" outlineLevel="0" collapsed="false">
      <c r="A145" s="8"/>
      <c r="C145" s="10" t="str">
        <f aca="false">IF(D145&lt;&gt;"","▪","")</f>
        <v>▪</v>
      </c>
      <c r="D145" s="11" t="s">
        <v>93</v>
      </c>
    </row>
    <row r="146" customFormat="false" ht="13.8" hidden="false" customHeight="false" outlineLevel="0" collapsed="false">
      <c r="A146" s="8"/>
      <c r="B146" s="9" t="s">
        <v>49</v>
      </c>
      <c r="C146" s="9"/>
      <c r="D146" s="11"/>
    </row>
    <row r="147" customFormat="false" ht="13.8" hidden="false" customHeight="false" outlineLevel="0" collapsed="false">
      <c r="A147" s="8"/>
      <c r="C147" s="10" t="str">
        <f aca="false">IF(D147&lt;&gt;"","▪","")</f>
        <v>▪</v>
      </c>
      <c r="D147" s="11" t="s">
        <v>94</v>
      </c>
    </row>
    <row r="148" customFormat="false" ht="13.8" hidden="false" customHeight="false" outlineLevel="0" collapsed="false">
      <c r="A148" s="8"/>
      <c r="B148" s="9" t="s">
        <v>20</v>
      </c>
      <c r="C148" s="9"/>
      <c r="D148" s="11"/>
    </row>
    <row r="149" customFormat="false" ht="13.8" hidden="false" customHeight="false" outlineLevel="0" collapsed="false">
      <c r="A149" s="8"/>
      <c r="C149" s="10" t="str">
        <f aca="false">IF(D149&lt;&gt;"","▪","")</f>
        <v>▪</v>
      </c>
      <c r="D149" s="11" t="s">
        <v>93</v>
      </c>
    </row>
    <row r="150" customFormat="false" ht="13.8" hidden="false" customHeight="false" outlineLevel="0" collapsed="false">
      <c r="A150" s="8"/>
      <c r="B150" s="9" t="s">
        <v>54</v>
      </c>
      <c r="C150" s="9"/>
      <c r="D150" s="11"/>
    </row>
    <row r="151" customFormat="false" ht="13.8" hidden="false" customHeight="false" outlineLevel="0" collapsed="false">
      <c r="A151" s="8"/>
      <c r="C151" s="10" t="str">
        <f aca="false">IF(D151&lt;&gt;"","▪","")</f>
        <v>▪</v>
      </c>
      <c r="D151" s="11" t="s">
        <v>95</v>
      </c>
    </row>
    <row r="152" customFormat="false" ht="13.8" hidden="false" customHeight="false" outlineLevel="0" collapsed="false">
      <c r="A152" s="8"/>
      <c r="B152" s="9" t="s">
        <v>71</v>
      </c>
      <c r="C152" s="9"/>
      <c r="D152" s="11"/>
    </row>
    <row r="153" customFormat="false" ht="13.8" hidden="false" customHeight="false" outlineLevel="0" collapsed="false">
      <c r="A153" s="8"/>
      <c r="C153" s="10" t="str">
        <f aca="false">IF(D153&lt;&gt;"","▪","")</f>
        <v>▪</v>
      </c>
      <c r="D153" s="11" t="s">
        <v>96</v>
      </c>
    </row>
    <row r="154" customFormat="false" ht="13.8" hidden="false" customHeight="false" outlineLevel="0" collapsed="false">
      <c r="A154" s="2"/>
      <c r="B154" s="18"/>
      <c r="C154" s="18"/>
      <c r="D154" s="19"/>
    </row>
    <row r="155" customFormat="false" ht="17.35" hidden="false" customHeight="false" outlineLevel="0" collapsed="false">
      <c r="A155" s="12" t="s">
        <v>97</v>
      </c>
      <c r="B155" s="13"/>
      <c r="C155" s="13"/>
      <c r="D155" s="14"/>
    </row>
    <row r="156" customFormat="false" ht="13.8" hidden="false" customHeight="false" outlineLevel="0" collapsed="false">
      <c r="A156" s="8"/>
      <c r="B156" s="9" t="s">
        <v>2</v>
      </c>
      <c r="C156" s="9"/>
      <c r="D156" s="11"/>
    </row>
    <row r="157" customFormat="false" ht="13.8" hidden="false" customHeight="false" outlineLevel="0" collapsed="false">
      <c r="A157" s="8"/>
      <c r="B157" s="9"/>
      <c r="C157" s="10" t="str">
        <f aca="false">IF(D157&lt;&gt;"","▪","")</f>
        <v>▪</v>
      </c>
      <c r="D157" s="11" t="s">
        <v>98</v>
      </c>
    </row>
    <row r="158" customFormat="false" ht="13.8" hidden="false" customHeight="false" outlineLevel="0" collapsed="false">
      <c r="A158" s="8"/>
      <c r="B158" s="9" t="s">
        <v>40</v>
      </c>
      <c r="C158" s="9"/>
      <c r="D158" s="11"/>
    </row>
    <row r="159" customFormat="false" ht="23.85" hidden="false" customHeight="false" outlineLevel="0" collapsed="false">
      <c r="A159" s="8"/>
      <c r="B159" s="9"/>
      <c r="C159" s="10" t="str">
        <f aca="false">IF(D159&lt;&gt;"","▪","")</f>
        <v>▪</v>
      </c>
      <c r="D159" s="11" t="s">
        <v>99</v>
      </c>
    </row>
    <row r="160" customFormat="false" ht="23.85" hidden="false" customHeight="false" outlineLevel="0" collapsed="false">
      <c r="A160" s="8"/>
      <c r="B160" s="9"/>
      <c r="C160" s="10" t="str">
        <f aca="false">IF(D160&lt;&gt;"","▪","")</f>
        <v>▪</v>
      </c>
      <c r="D160" s="11" t="s">
        <v>100</v>
      </c>
    </row>
    <row r="161" customFormat="false" ht="35.05" hidden="false" customHeight="false" outlineLevel="0" collapsed="false">
      <c r="A161" s="8"/>
      <c r="B161" s="9"/>
      <c r="C161" s="10" t="str">
        <f aca="false">IF(D161&lt;&gt;"","▪","")</f>
        <v>▪</v>
      </c>
      <c r="D161" s="11" t="s">
        <v>101</v>
      </c>
    </row>
    <row r="162" customFormat="false" ht="13.8" hidden="false" customHeight="false" outlineLevel="0" collapsed="false">
      <c r="A162" s="8"/>
      <c r="B162" s="9" t="s">
        <v>11</v>
      </c>
      <c r="C162" s="9"/>
      <c r="D162" s="11"/>
    </row>
    <row r="163" customFormat="false" ht="13.8" hidden="false" customHeight="false" outlineLevel="0" collapsed="false">
      <c r="A163" s="8"/>
      <c r="C163" s="10" t="str">
        <f aca="false">IF(D163&lt;&gt;"","▪","")</f>
        <v>▪</v>
      </c>
      <c r="D163" s="11" t="s">
        <v>102</v>
      </c>
    </row>
    <row r="164" customFormat="false" ht="13.8" hidden="false" customHeight="false" outlineLevel="0" collapsed="false">
      <c r="A164" s="8"/>
      <c r="C164" s="10" t="str">
        <f aca="false">IF(D164&lt;&gt;"","▪","")</f>
        <v>▪</v>
      </c>
      <c r="D164" s="11" t="s">
        <v>103</v>
      </c>
    </row>
    <row r="165" customFormat="false" ht="13.8" hidden="false" customHeight="false" outlineLevel="0" collapsed="false">
      <c r="A165" s="8"/>
      <c r="C165" s="10" t="str">
        <f aca="false">IF(D165&lt;&gt;"","▪","")</f>
        <v>▪</v>
      </c>
      <c r="D165" s="11" t="s">
        <v>104</v>
      </c>
    </row>
    <row r="166" customFormat="false" ht="13.8" hidden="false" customHeight="false" outlineLevel="0" collapsed="false">
      <c r="A166" s="8"/>
      <c r="C166" s="10" t="str">
        <f aca="false">IF(D166&lt;&gt;"","▪","")</f>
        <v>▪</v>
      </c>
      <c r="D166" s="11" t="s">
        <v>105</v>
      </c>
    </row>
    <row r="167" customFormat="false" ht="13.8" hidden="false" customHeight="false" outlineLevel="0" collapsed="false">
      <c r="A167" s="8"/>
      <c r="C167" s="10" t="str">
        <f aca="false">IF(D167&lt;&gt;"","▪","")</f>
        <v>▪</v>
      </c>
      <c r="D167" s="11" t="s">
        <v>106</v>
      </c>
    </row>
    <row r="168" customFormat="false" ht="13.8" hidden="false" customHeight="false" outlineLevel="0" collapsed="false">
      <c r="A168" s="8"/>
      <c r="B168" s="9" t="s">
        <v>20</v>
      </c>
      <c r="C168" s="9"/>
      <c r="D168" s="11"/>
    </row>
    <row r="169" customFormat="false" ht="23.85" hidden="false" customHeight="false" outlineLevel="0" collapsed="false">
      <c r="A169" s="8"/>
      <c r="C169" s="10" t="str">
        <f aca="false">IF(D169&lt;&gt;"","▪","")</f>
        <v>▪</v>
      </c>
      <c r="D169" s="11" t="s">
        <v>107</v>
      </c>
    </row>
    <row r="170" customFormat="false" ht="13.8" hidden="false" customHeight="false" outlineLevel="0" collapsed="false">
      <c r="A170" s="8"/>
      <c r="C170" s="10" t="str">
        <f aca="false">IF(D170&lt;&gt;"","▪","")</f>
        <v>▪</v>
      </c>
      <c r="D170" s="11" t="s">
        <v>108</v>
      </c>
    </row>
    <row r="171" customFormat="false" ht="13.8" hidden="false" customHeight="false" outlineLevel="0" collapsed="false">
      <c r="A171" s="8"/>
      <c r="C171" s="10" t="str">
        <f aca="false">IF(D171&lt;&gt;"","▪","")</f>
        <v>▪</v>
      </c>
      <c r="D171" s="11" t="s">
        <v>109</v>
      </c>
    </row>
    <row r="172" customFormat="false" ht="13.8" hidden="false" customHeight="false" outlineLevel="0" collapsed="false">
      <c r="A172" s="8"/>
      <c r="B172" s="9" t="s">
        <v>54</v>
      </c>
      <c r="C172" s="9"/>
      <c r="D172" s="11"/>
    </row>
    <row r="173" customFormat="false" ht="13.8" hidden="false" customHeight="false" outlineLevel="0" collapsed="false">
      <c r="A173" s="8"/>
      <c r="C173" s="10" t="str">
        <f aca="false">IF(D173&lt;&gt;"","▪","")</f>
        <v>▪</v>
      </c>
      <c r="D173" s="11" t="s">
        <v>95</v>
      </c>
    </row>
    <row r="174" customFormat="false" ht="13.8" hidden="false" customHeight="false" outlineLevel="0" collapsed="false">
      <c r="A174" s="8"/>
      <c r="B174" s="9" t="s">
        <v>76</v>
      </c>
      <c r="C174" s="9"/>
      <c r="D174" s="11"/>
    </row>
    <row r="175" customFormat="false" ht="13.8" hidden="false" customHeight="false" outlineLevel="0" collapsed="false">
      <c r="A175" s="8"/>
      <c r="C175" s="10" t="str">
        <f aca="false">IF(D175&lt;&gt;"","▪","")</f>
        <v>▪</v>
      </c>
      <c r="D175" s="11" t="s">
        <v>110</v>
      </c>
    </row>
    <row r="176" customFormat="false" ht="13.8" hidden="false" customHeight="false" outlineLevel="0" collapsed="false">
      <c r="A176" s="8"/>
      <c r="B176" s="9" t="s">
        <v>17</v>
      </c>
      <c r="C176" s="9"/>
      <c r="D176" s="11"/>
    </row>
    <row r="177" customFormat="false" ht="13.8" hidden="false" customHeight="false" outlineLevel="0" collapsed="false">
      <c r="A177" s="8"/>
      <c r="C177" s="10" t="str">
        <f aca="false">IF(D177&lt;&gt;"","▪","")</f>
        <v>▪</v>
      </c>
      <c r="D177" s="11" t="s">
        <v>111</v>
      </c>
    </row>
    <row r="178" customFormat="false" ht="13.8" hidden="false" customHeight="false" outlineLevel="0" collapsed="false">
      <c r="A178" s="2"/>
      <c r="B178" s="18"/>
      <c r="C178" s="18"/>
      <c r="D178" s="19"/>
    </row>
    <row r="179" customFormat="false" ht="17.35" hidden="false" customHeight="false" outlineLevel="0" collapsed="false">
      <c r="A179" s="12" t="s">
        <v>112</v>
      </c>
      <c r="B179" s="13"/>
      <c r="C179" s="13"/>
      <c r="D179" s="14"/>
    </row>
    <row r="180" customFormat="false" ht="13.8" hidden="false" customHeight="false" outlineLevel="0" collapsed="false">
      <c r="A180" s="8"/>
      <c r="B180" s="9" t="s">
        <v>2</v>
      </c>
      <c r="C180" s="9"/>
      <c r="D180" s="11"/>
    </row>
    <row r="181" customFormat="false" ht="13.8" hidden="false" customHeight="false" outlineLevel="0" collapsed="false">
      <c r="A181" s="8"/>
      <c r="B181" s="9"/>
      <c r="C181" s="10" t="str">
        <f aca="false">IF(D181&lt;&gt;"","▪","")</f>
        <v>▪</v>
      </c>
      <c r="D181" s="11" t="s">
        <v>113</v>
      </c>
    </row>
    <row r="182" customFormat="false" ht="13.8" hidden="false" customHeight="false" outlineLevel="0" collapsed="false">
      <c r="A182" s="8"/>
      <c r="B182" s="9" t="s">
        <v>40</v>
      </c>
      <c r="C182" s="9"/>
      <c r="D182" s="11"/>
    </row>
    <row r="183" customFormat="false" ht="13.8" hidden="false" customHeight="false" outlineLevel="0" collapsed="false">
      <c r="A183" s="8"/>
      <c r="B183" s="9"/>
      <c r="C183" s="10" t="str">
        <f aca="false">IF(D183&lt;&gt;"","▪","")</f>
        <v>▪</v>
      </c>
      <c r="D183" s="11" t="s">
        <v>114</v>
      </c>
    </row>
    <row r="184" customFormat="false" ht="13.8" hidden="false" customHeight="false" outlineLevel="0" collapsed="false">
      <c r="A184" s="8"/>
      <c r="B184" s="9"/>
      <c r="C184" s="10" t="str">
        <f aca="false">IF(D184&lt;&gt;"","▪","")</f>
        <v>▪</v>
      </c>
      <c r="D184" s="11" t="s">
        <v>115</v>
      </c>
    </row>
    <row r="185" customFormat="false" ht="13.8" hidden="false" customHeight="false" outlineLevel="0" collapsed="false">
      <c r="A185" s="2"/>
      <c r="B185" s="18"/>
      <c r="C185" s="18"/>
      <c r="D185" s="19"/>
    </row>
    <row r="186" customFormat="false" ht="17.35" hidden="false" customHeight="false" outlineLevel="0" collapsed="false">
      <c r="A186" s="12" t="s">
        <v>116</v>
      </c>
      <c r="B186" s="13"/>
      <c r="C186" s="13"/>
      <c r="D186" s="14"/>
    </row>
    <row r="187" customFormat="false" ht="13.8" hidden="false" customHeight="false" outlineLevel="0" collapsed="false">
      <c r="A187" s="8"/>
      <c r="B187" s="9" t="s">
        <v>11</v>
      </c>
      <c r="C187" s="9"/>
      <c r="D187" s="11"/>
    </row>
    <row r="188" customFormat="false" ht="13.8" hidden="false" customHeight="false" outlineLevel="0" collapsed="false">
      <c r="A188" s="8"/>
      <c r="B188" s="9"/>
      <c r="C188" s="10" t="str">
        <f aca="false">IF(D188&lt;&gt;"","▪","")</f>
        <v>▪</v>
      </c>
      <c r="D188" s="11" t="s">
        <v>117</v>
      </c>
    </row>
    <row r="189" customFormat="false" ht="13.8" hidden="false" customHeight="false" outlineLevel="0" collapsed="false">
      <c r="A189" s="2"/>
      <c r="B189" s="18"/>
      <c r="C189" s="18"/>
      <c r="D189" s="19"/>
    </row>
    <row r="190" customFormat="false" ht="17.35" hidden="false" customHeight="false" outlineLevel="0" collapsed="false">
      <c r="A190" s="12" t="s">
        <v>118</v>
      </c>
      <c r="B190" s="13"/>
      <c r="C190" s="13"/>
      <c r="D190" s="14"/>
    </row>
    <row r="191" customFormat="false" ht="13.8" hidden="false" customHeight="false" outlineLevel="0" collapsed="false">
      <c r="A191" s="8"/>
      <c r="B191" s="9" t="s">
        <v>23</v>
      </c>
      <c r="C191" s="9"/>
      <c r="D191" s="11"/>
    </row>
    <row r="192" customFormat="false" ht="13.8" hidden="false" customHeight="false" outlineLevel="0" collapsed="false">
      <c r="A192" s="8"/>
      <c r="B192" s="9"/>
      <c r="C192" s="10" t="str">
        <f aca="false">IF(D192&lt;&gt;"","▪","")</f>
        <v>▪</v>
      </c>
      <c r="D192" s="11" t="s">
        <v>119</v>
      </c>
    </row>
    <row r="193" customFormat="false" ht="13.8" hidden="false" customHeight="false" outlineLevel="0" collapsed="false">
      <c r="A193" s="2"/>
      <c r="B193" s="18"/>
      <c r="C193" s="18"/>
      <c r="D193" s="19"/>
    </row>
  </sheetData>
  <sheetProtection algorithmName="SHA-512" hashValue="fT1UF0qzAWY4WMgEsiICZ2KI5qoe0b5aiRQYth+JyqJCHCymcrncrqXvPrgpOj8E4AMQIV9jfL2xDgVtPjCf7Q==" saltValue="VmQg9VZTxB8smHWabniWQw==" spinCount="100000" sheet="true" objects="true" scenarios="true" autoFilter="false"/>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0" pageOrder="downThenOver" orientation="portrait" blackAndWhite="false" draft="false" cellComments="none" horizontalDpi="300" verticalDpi="300" copies="1"/>
  <headerFooter differentFirst="false" differentOddEven="false">
    <oddHeader>&amp;L_</oddHeader>
    <oddFooter>&amp;LPMv3.16&amp;R&amp;P / &amp;N</oddFooter>
  </headerFooter>
  <rowBreaks count="2" manualBreakCount="2">
    <brk id="53" man="true" max="16383" min="0"/>
    <brk id="129" man="true" max="16383" min="0"/>
  </rowBreaks>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E37"/>
  <sheetViews>
    <sheetView showFormulas="false" showGridLines="false" showRowColHeaders="true" showZeros="true" rightToLeft="false" tabSelected="false" showOutlineSymbols="true" defaultGridColor="true" view="pageBreakPreview" topLeftCell="A1" colorId="64" zoomScale="90" zoomScaleNormal="100" zoomScalePageLayoutView="90" workbookViewId="0">
      <pane xSplit="7" ySplit="13" topLeftCell="H14" activePane="bottomRight" state="frozen"/>
      <selection pane="topLeft" activeCell="A1" activeCellId="0" sqref="A1"/>
      <selection pane="topRight" activeCell="H1" activeCellId="0" sqref="H1"/>
      <selection pane="bottomLeft" activeCell="A14" activeCellId="0" sqref="A14"/>
      <selection pane="bottomRight" activeCell="H17" activeCellId="0" sqref="H17"/>
    </sheetView>
  </sheetViews>
  <sheetFormatPr defaultColWidth="8.6796875" defaultRowHeight="12.75" customHeight="false" zeroHeight="false" outlineLevelRow="0" outlineLevelCol="0"/>
  <cols>
    <col collapsed="false" customWidth="true" hidden="true" outlineLevel="0" max="1" min="1" style="0" width="15.85"/>
    <col collapsed="false" customWidth="true" hidden="true" outlineLevel="0" max="2" min="2" style="0" width="10.42"/>
    <col collapsed="false" customWidth="true" hidden="false" outlineLevel="0" max="3" min="3" style="0" width="3.57"/>
    <col collapsed="false" customWidth="true" hidden="false" outlineLevel="0" max="4" min="4" style="0" width="6.57"/>
    <col collapsed="false" customWidth="true" hidden="false" outlineLevel="0" max="5" min="5" style="0" width="18.57"/>
    <col collapsed="false" customWidth="true" hidden="false" outlineLevel="0" max="6" min="6" style="0" width="28.57"/>
    <col collapsed="false" customWidth="true" hidden="false" outlineLevel="0" max="7" min="7" style="0" width="35.57"/>
    <col collapsed="false" customWidth="true" hidden="false" outlineLevel="0" max="8" min="8" style="0" width="15.57"/>
    <col collapsed="false" customWidth="true" hidden="false" outlineLevel="0" max="9" min="9" style="0" width="12.57"/>
    <col collapsed="false" customWidth="true" hidden="false" outlineLevel="0" max="10" min="10" style="0" width="7.57"/>
    <col collapsed="false" customWidth="true" hidden="false" outlineLevel="0" max="15" min="11" style="0" width="16.57"/>
    <col collapsed="false" customWidth="true" hidden="false" outlineLevel="0" max="17" min="16" style="0" width="5.57"/>
    <col collapsed="false" customWidth="true" hidden="false" outlineLevel="0" max="18" min="18" style="0" width="35.57"/>
    <col collapsed="false" customWidth="true" hidden="false" outlineLevel="0" max="19" min="19" style="0" width="1.57"/>
    <col collapsed="false" customWidth="true" hidden="false" outlineLevel="0" max="21" min="20" style="0" width="16.57"/>
    <col collapsed="false" customWidth="true" hidden="false" outlineLevel="0" max="22" min="22" style="0" width="13.57"/>
    <col collapsed="false" customWidth="true" hidden="false" outlineLevel="0" max="24" min="23" style="0" width="16.57"/>
    <col collapsed="false" customWidth="true" hidden="false" outlineLevel="0" max="25" min="25" style="0" width="1.57"/>
    <col collapsed="false" customWidth="true" hidden="true" outlineLevel="0" max="28" min="26" style="0" width="9.14"/>
    <col collapsed="false" customWidth="true" hidden="true" outlineLevel="0" max="29" min="29" style="0" width="3.57"/>
    <col collapsed="false" customWidth="true" hidden="true" outlineLevel="0" max="30" min="30" style="0" width="13.42"/>
    <col collapsed="false" customWidth="true" hidden="true" outlineLevel="0" max="31" min="31" style="0" width="9.14"/>
  </cols>
  <sheetData>
    <row r="1" customFormat="false" ht="30" hidden="false" customHeight="true" outlineLevel="0" collapsed="false">
      <c r="A1" s="516" t="s">
        <v>945</v>
      </c>
      <c r="F1" s="517" t="s">
        <v>946</v>
      </c>
      <c r="I1" s="49"/>
      <c r="J1" s="49"/>
      <c r="O1" s="381" t="s">
        <v>871</v>
      </c>
      <c r="P1" s="15"/>
    </row>
    <row r="2" customFormat="false" ht="12.75" hidden="false" customHeight="false" outlineLevel="0" collapsed="false">
      <c r="A2" s="0" t="s">
        <v>947</v>
      </c>
      <c r="Z2" s="0" t="s">
        <v>948</v>
      </c>
      <c r="AA2" s="170" t="s">
        <v>949</v>
      </c>
      <c r="AB2" s="148"/>
    </row>
    <row r="3" customFormat="false" ht="12.75" hidden="false" customHeight="false" outlineLevel="0" collapsed="false">
      <c r="A3" s="0" t="s">
        <v>950</v>
      </c>
      <c r="D3" s="101" t="s">
        <v>710</v>
      </c>
      <c r="E3" s="101"/>
      <c r="F3" s="161" t="s">
        <v>774</v>
      </c>
      <c r="G3" s="101" t="s">
        <v>712</v>
      </c>
      <c r="H3" s="101"/>
      <c r="I3" s="101"/>
      <c r="J3" s="518" t="s">
        <v>951</v>
      </c>
      <c r="K3" s="518"/>
      <c r="L3" s="518"/>
      <c r="M3" s="519" t="s">
        <v>952</v>
      </c>
      <c r="N3" s="519"/>
      <c r="O3" s="519"/>
      <c r="Z3" s="184" t="n">
        <f aca="false">MAX(Z7:AB7)</f>
        <v>0</v>
      </c>
      <c r="AA3" s="520" t="n">
        <f aca="false" t="array" ref="AA3:AA3">IF(OR($O$24=ORÇAMENTO.SumINVMANUAL+QCI.SumINVMANUAL,$O$24=0),0,MIN(MAX(0,($Z$3*$O$24-ORÇAMENTO.SumCPMANUAL-QCI.SumCPMANUAL)/($O$24-ORÇAMENTO.SumINVMANUAL-QCI.SumINVMANUAL)),1))</f>
        <v>0</v>
      </c>
      <c r="AB3" s="165"/>
    </row>
    <row r="4" customFormat="false" ht="12.75" hidden="false" customHeight="false" outlineLevel="0" collapsed="false">
      <c r="A4" s="0" t="s">
        <v>953</v>
      </c>
      <c r="D4" s="102" t="n">
        <f aca="false">Import.CR</f>
        <v>0</v>
      </c>
      <c r="E4" s="102"/>
      <c r="F4" s="102" t="n">
        <f aca="false">Import.TransfereGOV</f>
        <v>0</v>
      </c>
      <c r="G4" s="102" t="str">
        <f aca="false">Import.Proponente</f>
        <v>PREFEITURA MUNICIPAL DE TRAMANDAI</v>
      </c>
      <c r="H4" s="102"/>
      <c r="I4" s="102"/>
      <c r="J4" s="521" t="str">
        <f aca="false">Import.Município</f>
        <v>TRAMANDAI/RS</v>
      </c>
      <c r="K4" s="521"/>
      <c r="L4" s="521"/>
      <c r="M4" s="519"/>
      <c r="N4" s="519"/>
      <c r="O4" s="519"/>
      <c r="R4" s="109"/>
      <c r="Z4" s="165"/>
      <c r="AA4" s="165"/>
      <c r="AB4" s="165"/>
    </row>
    <row r="5" customFormat="false" ht="4.5" hidden="false" customHeight="true" outlineLevel="0" collapsed="false">
      <c r="A5" s="0" t="s">
        <v>954</v>
      </c>
      <c r="M5" s="35"/>
      <c r="O5" s="8"/>
    </row>
    <row r="6" customFormat="false" ht="12.75" hidden="false" customHeight="false" outlineLevel="0" collapsed="false">
      <c r="A6" s="0" t="s">
        <v>955</v>
      </c>
      <c r="D6" s="101" t="s">
        <v>775</v>
      </c>
      <c r="E6" s="101"/>
      <c r="F6" s="101"/>
      <c r="G6" s="101"/>
      <c r="H6" s="101"/>
      <c r="I6" s="101"/>
      <c r="J6" s="101"/>
      <c r="K6" s="101"/>
      <c r="L6" s="522" t="s">
        <v>785</v>
      </c>
      <c r="M6" s="161" t="str">
        <f aca="false">IF(import.recurso="FGTS","FINANCIAMENTO","REPASSE")</f>
        <v>REPASSE</v>
      </c>
      <c r="N6" s="161" t="s">
        <v>956</v>
      </c>
      <c r="O6" s="161" t="s">
        <v>957</v>
      </c>
      <c r="Z6" s="0" t="s">
        <v>958</v>
      </c>
      <c r="AA6" s="0" t="s">
        <v>959</v>
      </c>
      <c r="AB6" s="0" t="s">
        <v>960</v>
      </c>
    </row>
    <row r="7" customFormat="false" ht="12.75" hidden="false" customHeight="true" outlineLevel="0" collapsed="false">
      <c r="A7" s="523" t="s">
        <v>961</v>
      </c>
      <c r="C7" s="103" t="s">
        <v>715</v>
      </c>
      <c r="D7" s="102" t="str">
        <f aca="false">Import.Apelido</f>
        <v>REVITALAIZAÇÃO DA ORLA DA BEIRA RIO</v>
      </c>
      <c r="E7" s="102"/>
      <c r="F7" s="102"/>
      <c r="G7" s="102"/>
      <c r="H7" s="102"/>
      <c r="I7" s="102"/>
      <c r="J7" s="102"/>
      <c r="K7" s="102"/>
      <c r="L7" s="524" t="str">
        <f aca="false">import.recurso</f>
        <v>OGU</v>
      </c>
      <c r="M7" s="525" t="n">
        <f aca="false">Import.Repasse</f>
        <v>0</v>
      </c>
      <c r="N7" s="525" t="n">
        <f aca="false">Import.Contrapartida</f>
        <v>0</v>
      </c>
      <c r="O7" s="525" t="n">
        <f aca="false">M7+N7</f>
        <v>0</v>
      </c>
      <c r="Z7" s="184" t="n">
        <f aca="false">ROUND(Import.CPMinPerc,4)</f>
        <v>0</v>
      </c>
      <c r="AA7" s="184" t="n">
        <f aca="false">IF($O$24=0,0,Import.CPMinAbsoluta/$O$24)</f>
        <v>0</v>
      </c>
      <c r="AB7" s="184" t="n">
        <f aca="false">IF($O$24=0,0,($O$24-$AB$24-Import.Repasse)/($O$24))</f>
        <v>0</v>
      </c>
    </row>
    <row r="8" customFormat="false" ht="12.75" hidden="false" customHeight="false" outlineLevel="0" collapsed="false">
      <c r="A8" s="0" t="s">
        <v>962</v>
      </c>
      <c r="C8" s="103"/>
      <c r="D8" s="165"/>
      <c r="E8" s="165"/>
      <c r="F8" s="526"/>
      <c r="G8" s="165"/>
      <c r="H8" s="165"/>
      <c r="I8" s="165"/>
      <c r="J8" s="165"/>
      <c r="K8" s="165"/>
      <c r="L8" s="165"/>
      <c r="M8" s="165"/>
      <c r="N8" s="165"/>
      <c r="O8" s="165"/>
    </row>
    <row r="9" customFormat="false" ht="12.75" hidden="false" customHeight="true" outlineLevel="0" collapsed="false">
      <c r="A9" s="0" t="s">
        <v>963</v>
      </c>
      <c r="C9" s="103"/>
      <c r="G9" s="527" t="str">
        <f aca="true">IF($T$11&lt;&gt;"","PREENCHIMENTO INCOMPLETO DA TABELA AUXILIAR DO QCI",
  IF($G$11&lt;&gt;"","PREENCHIMENTO INCOMPLETO DA TABELA PRINCIPAL DO QCI",
  IF(AND($O$24&gt;0,$M$25&gt;Import.CPMaxPerc,Import.CPMaxPerc&gt;0),"ERRO: CONTRAPARTIDA MAIOR QUE A MÁXIMA",
  IF(OR(AND($O$24&gt;0,$M$25&lt;QCI!$Z$7),$M$24&lt;ROUND(Import.CPMinAbsoluta,2)),"ERRO: CONTRAPARTIDA MENOR QUE A MÍNIMA",
  IF(OR($L$10&lt;0,$M$10&lt;0),"ERRO: SALDO NEGATIVO",
  IF(COUNTIF($L$13:$L$24,"&lt;0")&gt;0,"ERRO: VALORES DE REPASSE NEGATIVOS",
  IF(OFFSET($A$24,-1,0)&lt;OFFSET(ORÇAMENTO!$E$59,-1,0),"ERRO: NÚMERO DE LINHAS DO QCI INSUFICIENTE. CLIQUE NO BOTÃO ADICIONAR LINHAS",
  "")))))))</f>
        <v/>
      </c>
      <c r="H9" s="527"/>
      <c r="I9" s="528"/>
      <c r="J9" s="529"/>
      <c r="K9" s="530" t="s">
        <v>964</v>
      </c>
      <c r="L9" s="531" t="str">
        <f aca="false">$L$13</f>
        <v>Repasse (R$)</v>
      </c>
      <c r="M9" s="531" t="s">
        <v>813</v>
      </c>
      <c r="AD9" s="532"/>
      <c r="AE9" s="532"/>
    </row>
    <row r="10" customFormat="false" ht="12.75" hidden="false" customHeight="true" outlineLevel="0" collapsed="false">
      <c r="A10" s="533" t="s">
        <v>965</v>
      </c>
      <c r="C10" s="103"/>
      <c r="G10" s="527"/>
      <c r="H10" s="527"/>
      <c r="I10" s="528"/>
      <c r="J10" s="529"/>
      <c r="K10" s="530"/>
      <c r="L10" s="534" t="n">
        <f aca="false">Import.Repasse-L24</f>
        <v>0</v>
      </c>
      <c r="M10" s="535" t="n">
        <f aca="false">Import.Contrapartida-M24</f>
        <v>0</v>
      </c>
      <c r="Z10" s="192" t="s">
        <v>793</v>
      </c>
      <c r="AA10" s="192"/>
      <c r="AB10" s="192"/>
      <c r="AD10" s="532" t="s">
        <v>966</v>
      </c>
      <c r="AE10" s="532"/>
    </row>
    <row r="11" customFormat="false" ht="19.5" hidden="false" customHeight="true" outlineLevel="0" collapsed="false">
      <c r="A11" s="533"/>
      <c r="C11" s="103"/>
      <c r="G11" s="536" t="str">
        <f aca="false">IF(COUNTIF($P$13:$P$24,"ITEM")&gt;0,"Falta definir o ITEM de Investimento da Meta "&amp;INDEX($D$13:$D$24,MATCH("ITEM",$P$13:$P$24,0)),
  IF(COUNTIF($P$13:$P$24,"SUBITEM")&gt;0,"Falta definir o SUBITEM de Investimento da Meta "&amp;INDEX($D$13:$D$24,MATCH("SUBITEM",$P$13:$P$24,0)),
  IF(COUNTIF($P$13:$P$24,"SITUAÇÃO")&gt;0,"Falta definir a SITUAÇÃO do Investimento da Meta "&amp;INDEX($D$13:$D$24,MATCH("SITUAÇÃO",$P$13:$P$24,0)),
  IF(COUNTIF($P$13:$P$24,"QUANT.")&gt;0,"Falta preencher a QUANTIDADE da Meta "&amp;INDEX($D$13:$D$24,MATCH("QUANT.",$P$13:$P$24,0)),
  ""))))</f>
        <v/>
      </c>
      <c r="T11" s="51" t="str">
        <f aca="false">IF(COUNTIF($S$13:$S$24,"► LOTE")&gt;0,"Falta preencher o LOTE/CTEF da Meta "&amp;INDEX($D$13:$D$24,MATCH("► LOTE",$S$13:$S$24,0)),
  IF(COUNTIF($S$13:$S$24,"► INVEST")&gt;0,"Falta preencher o valor do INVESTIMENTO da Meta "&amp;INDEX($D$13:$D$24,MATCH("► INVEST",$S$13:$S$24,0)),
  IF(COUNTIF($S$13:$S$24,"► DIV")&gt;0,"Falta definir a DIVISÃO do Investimento da Meta "&amp;INDEX($D$13:$D$24,MATCH("► DIV",$S$13:$S$24,0)),
  IF(COUNTIF($S$13:$S$24,"► CP")&gt;0,"Falta preencher o valor da CONTRAPARTIDA da Meta "&amp;INDEX($D$13:$D$24,MATCH("► CP",$S$13:$S$24,0)),
  IF(COUNTIF($S$13:$S$24,"► OU")&gt;0,"Falta preencher o valor de OUTROS recursos da Meta "&amp;INDEX($D$13:$D$24,MATCH("► OU",$S$13:$S$24,0)),
  "")))))</f>
        <v/>
      </c>
      <c r="Z11" s="197" t="s">
        <v>967</v>
      </c>
      <c r="AA11" s="197" t="s">
        <v>813</v>
      </c>
      <c r="AB11" s="198" t="s">
        <v>814</v>
      </c>
    </row>
    <row r="12" customFormat="false" ht="30" hidden="true" customHeight="true" outlineLevel="0" collapsed="false">
      <c r="A12" s="537" t="n">
        <f aca="true">IF(NOT(ISBLANK(QCI.DescManual)),OFFSET(A12,-1,0),D12)</f>
        <v>-1</v>
      </c>
      <c r="B12" s="0" t="str">
        <f aca="false">IF(NOT(ISBLANK(QCI.DescManual)),IF(QCI.Divisao="Calculado","Manual","SemiAuto"),IF(ISERROR(MATCH($A12,ORÇAMENTO!$E$15:$E$59,0)),"Branco","Automático"))</f>
        <v>Branco</v>
      </c>
      <c r="C12" s="0" t="str">
        <f aca="false">IF(O12&gt;0,"F","")</f>
        <v/>
      </c>
      <c r="D12" s="538" t="n">
        <f aca="false">ROW()-ROW($D$13)</f>
        <v>-1</v>
      </c>
      <c r="E12" s="539"/>
      <c r="F12" s="539"/>
      <c r="G12" s="343" t="str">
        <f aca="false">IF(OR($B12="Manual",$B12="SemiAuto"),QCI.DescManual,IF($B12="Automático",INDEX(ORÇAMENTO!$R$15:$R$59,MATCH($A12,ORÇAMENTO!$E$15:$E$59,0)),""))</f>
        <v/>
      </c>
      <c r="H12" s="539"/>
      <c r="I12" s="540"/>
      <c r="J12" s="541" t="str">
        <f aca="true">IF(AND(ISBLANK(E12),ISBLANK(F12)),"",VLOOKUP($F12,OFFSET(DADOS!$A$2,1,MATCH(QCI!$E12,DADOS!$2:$2,0)-1,100,50),2,FALSE()))</f>
        <v/>
      </c>
      <c r="K12" s="542" t="str">
        <f aca="false" t="array" ref="K12:K12">IF(OR($B12="Manual",$B12="SemiAuto"),QCI.LoteManual,IF($B12="Automático",IF(TIPOORCAMENTO="Licitado",Import.CTEF,"LOTE 1"),""))</f>
        <v/>
      </c>
      <c r="L12" s="543" t="n">
        <f aca="false">ROUND($O12,2)-ROUND($M12,2)-ROUND($N12,2)</f>
        <v>0</v>
      </c>
      <c r="M12" s="544" t="n">
        <f aca="false">ROUND($AA12,2)-ROUND($AE12,2)</f>
        <v>0</v>
      </c>
      <c r="N12" s="545" t="n">
        <f aca="false">ROUND($AB12,2)</f>
        <v>0</v>
      </c>
      <c r="O12" s="546" t="n">
        <f aca="false" t="array" ref="O12:O12">IF($B12="Branco",0,IF(OR($B12="Manual",$B12="SemiAuto"),QCI.InvManual,INDEX(ORÇAMENTO!X$15:X$59,MATCH($A12,ORÇAMENTO!$E$15:$E$59,0))))</f>
        <v>0</v>
      </c>
      <c r="P12" s="547" t="str">
        <f aca="false">IF(O12=0,"",
  IF(E12="","ITEM",
  IF(F12="","SUBITEM",
  IF(H12="","SITUAÇÃO",
  IF(I12=0,"QUANT.","")))))</f>
        <v/>
      </c>
      <c r="R12" s="548"/>
      <c r="S12" s="549" t="str">
        <f aca="false">IF(R12="","",
  IF(T12=0,"► LOTE",
  IF(U12=0,"► INVEST",
  IF(V12=0,"► DIV",
  IF(AND(V12="Calculado",W12=""),"► CP",
  IF(AND(V12="Calculado",X12=""),"► OU",""))))))</f>
        <v/>
      </c>
      <c r="T12" s="550"/>
      <c r="U12" s="551"/>
      <c r="V12" s="552" t="s">
        <v>962</v>
      </c>
      <c r="W12" s="553"/>
      <c r="X12" s="554"/>
      <c r="Z12" s="0" t="n">
        <f aca="false">$O12-$AA12-$AB12</f>
        <v>0</v>
      </c>
      <c r="AA12" s="0" t="n">
        <f aca="false" t="array" ref="AA12:AA12">IF($B12="Branco",0,IF($B12="Manual",QCI.CPManual,IF($B12="SemiAuto",ROUND(QCI!$AA$3*QCI.InvManual,2),INDEX(ORÇAMENTO!$AA$15:$AA$59,MATCH($A12,ORÇAMENTO!$E$15:$E$59,0)))))</f>
        <v>0</v>
      </c>
      <c r="AB12" s="0" t="n">
        <f aca="false" t="array" ref="AB12:AB12">IF($B12="Branco",0,IF($B12="Manual",QCI.OutrosManual,IF($B12="SemiAuto",0,INDEX(ORÇAMENTO!$AB$15:$AB$59,MATCH($A12,ORÇAMENTO!$E$15:$E$59,0)))))</f>
        <v>0</v>
      </c>
      <c r="AD12" s="555" t="n">
        <f aca="false">AND($AA$3&gt;0,$AA$3&lt;1,$O12&gt;0,OR($B12="Automático",$B12="SemiAuto"),OR(QCI!$Z$3=QCI!$Z$7,QCI!$Z$3=QCI!$AA$7,QCI!$Z$3=QCI!$AB$7))</f>
        <v>0</v>
      </c>
      <c r="AE12" s="555" t="n">
        <f aca="true">IF(AND($AD12,$O12&gt;0,COUNTIF(OFFSET($AD12,1,0):$AD$24,TRUE())=0),CHOOSE(1+LOG(1+2*(QCI!$Z$3=QCI!$Z$7)+4*(QCI!$Z$3=QCI!$AA$7)+8*(QCI!$Z$3=QCI!$AB$7),2),0,$AA$24-ROUND(Import.CPMinPerc*$O$24,2),$AA$24-Import.CPMinAbsoluta,Import.Repasse-$Z$24),0)</f>
        <v>0</v>
      </c>
    </row>
    <row r="13" customFormat="false" ht="25.5" hidden="false" customHeight="true" outlineLevel="0" collapsed="false">
      <c r="A13" s="15" t="n">
        <v>0</v>
      </c>
      <c r="B13" s="556" t="s">
        <v>968</v>
      </c>
      <c r="C13" s="110" t="s">
        <v>720</v>
      </c>
      <c r="D13" s="194" t="s">
        <v>763</v>
      </c>
      <c r="E13" s="194" t="s">
        <v>969</v>
      </c>
      <c r="F13" s="194" t="s">
        <v>970</v>
      </c>
      <c r="G13" s="194" t="s">
        <v>971</v>
      </c>
      <c r="H13" s="194" t="s">
        <v>728</v>
      </c>
      <c r="I13" s="194" t="s">
        <v>781</v>
      </c>
      <c r="J13" s="194" t="s">
        <v>972</v>
      </c>
      <c r="K13" s="194" t="s">
        <v>973</v>
      </c>
      <c r="L13" s="557" t="str">
        <f aca="false">IF(import.recurso="FGTS","Financiamento (R$)","Repasse (R$)")</f>
        <v>Repasse (R$)</v>
      </c>
      <c r="M13" s="558" t="s">
        <v>974</v>
      </c>
      <c r="N13" s="559" t="s">
        <v>814</v>
      </c>
      <c r="O13" s="194" t="s">
        <v>975</v>
      </c>
      <c r="R13" s="202" t="s">
        <v>971</v>
      </c>
      <c r="T13" s="202" t="s">
        <v>973</v>
      </c>
      <c r="U13" s="200" t="s">
        <v>975</v>
      </c>
      <c r="V13" s="560" t="s">
        <v>976</v>
      </c>
      <c r="W13" s="339" t="s">
        <v>974</v>
      </c>
      <c r="X13" s="203" t="s">
        <v>814</v>
      </c>
    </row>
    <row r="14" customFormat="false" ht="30" hidden="false" customHeight="true" outlineLevel="0" collapsed="false">
      <c r="A14" s="537" t="n">
        <f aca="true">IF(NOT(ISBLANK(QCI.DescManual)),OFFSET(A14,-1,0),D14)</f>
        <v>1</v>
      </c>
      <c r="B14" s="0" t="str">
        <f aca="false">IF(NOT(ISBLANK(QCI.DescManual)),IF(QCI.Divisao="Calculado","Manual","SemiAuto"),IF(ISERROR(MATCH($A14,ORÇAMENTO!$E$15:$E$59,0)),"Branco","Automático"))</f>
        <v>Automático</v>
      </c>
      <c r="C14" s="0" t="str">
        <f aca="false">IF(O14&gt;0,"F","")</f>
        <v/>
      </c>
      <c r="D14" s="538" t="n">
        <f aca="false">ROW()-ROW($D$13)</f>
        <v>1</v>
      </c>
      <c r="E14" s="539"/>
      <c r="F14" s="539"/>
      <c r="G14" s="343" t="str">
        <f aca="false">IF(OR($B14="Manual",$B14="SemiAuto"),QCI.DescManual,IF($B14="Automático",INDEX(ORÇAMENTO!$R$15:$R$59,MATCH($A14,ORÇAMENTO!$E$15:$E$59,0)),""))</f>
        <v>REVITALIZAÇÃO DA ORLA DA BEIRA RIO </v>
      </c>
      <c r="H14" s="539"/>
      <c r="I14" s="540"/>
      <c r="J14" s="541" t="str">
        <f aca="true">IF(AND(ISBLANK(E14),ISBLANK(F14)),"",VLOOKUP($F14,OFFSET(DADOS!$A$2,1,MATCH(QCI!$E14,DADOS!$2:$2,0)-1,100,50),2,FALSE()))</f>
        <v/>
      </c>
      <c r="K14" s="542" t="str">
        <f aca="false" t="array" ref="K14:K14">IF(OR($B14="Manual",$B14="SemiAuto"),QCI.LoteManual,IF($B14="Automático",IF(TIPOORCAMENTO="Licitado",Import.CTEF,"LOTE 1"),""))</f>
        <v>LOTE 1</v>
      </c>
      <c r="L14" s="543" t="n">
        <f aca="false">ROUND($O14,2)-ROUND($M14,2)-ROUND($N14,2)</f>
        <v>0</v>
      </c>
      <c r="M14" s="544" t="n">
        <f aca="false">ROUND($AA14,2)-ROUND($AE14,2)</f>
        <v>0</v>
      </c>
      <c r="N14" s="545" t="n">
        <f aca="false">ROUND($AB14,2)</f>
        <v>0</v>
      </c>
      <c r="O14" s="546" t="n">
        <f aca="false" t="array" ref="O14:O14">IF($B14="Branco",0,IF(OR($B14="Manual",$B14="SemiAuto"),QCI.InvManual,INDEX(ORÇAMENTO!X$15:X$59,MATCH($A14,ORÇAMENTO!$E$15:$E$59,0))))</f>
        <v>0</v>
      </c>
      <c r="P14" s="547" t="str">
        <f aca="false">IF(O14=0,"",
  IF(E14="","ITEM",
  IF(F14="","SUBITEM",
  IF(H14="","SITUAÇÃO",
  IF(I14=0,"QUANT.","")))))</f>
        <v/>
      </c>
      <c r="R14" s="548"/>
      <c r="S14" s="549" t="str">
        <f aca="false">IF(R14="","",
  IF(T14=0,"► LOTE",
  IF(U14=0,"► INVEST",
  IF(V14=0,"► DIV",
  IF(AND(V14="Calculado",W14=""),"► CP",
  IF(AND(V14="Calculado",X14=""),"► OU",""))))))</f>
        <v/>
      </c>
      <c r="T14" s="550"/>
      <c r="U14" s="551"/>
      <c r="V14" s="552" t="s">
        <v>962</v>
      </c>
      <c r="W14" s="553"/>
      <c r="X14" s="554"/>
      <c r="Z14" s="0" t="n">
        <f aca="false">$O14-$AA14-$AB14</f>
        <v>0</v>
      </c>
      <c r="AA14" s="0" t="n">
        <f aca="false" t="array" ref="AA14:AA14">IF($B14="Branco",0,IF($B14="Manual",QCI.CPManual,IF($B14="SemiAuto",ROUND(QCI!$AA$3*QCI.InvManual,2),INDEX(ORÇAMENTO!$AA$15:$AA$59,MATCH($A14,ORÇAMENTO!$E$15:$E$59,0)))))</f>
        <v>0</v>
      </c>
      <c r="AB14" s="0" t="n">
        <f aca="false" t="array" ref="AB14:AB14">IF($B14="Branco",0,IF($B14="Manual",QCI.OutrosManual,IF($B14="SemiAuto",0,INDEX(ORÇAMENTO!$AB$15:$AB$59,MATCH($A14,ORÇAMENTO!$E$15:$E$59,0)))))</f>
        <v>0</v>
      </c>
      <c r="AD14" s="555" t="n">
        <f aca="false">AND($AA$3&gt;0,$AA$3&lt;1,$O14&gt;0,OR($B14="Automático",$B14="SemiAuto"),OR(QCI!$Z$3=QCI!$Z$7,QCI!$Z$3=QCI!$AA$7,QCI!$Z$3=QCI!$AB$7))</f>
        <v>0</v>
      </c>
      <c r="AE14" s="555" t="n">
        <f aca="true">IF(AND($AD14,$O14&gt;0,COUNTIF(OFFSET($AD14,1,0):$AD$24,TRUE())=0),CHOOSE(1+LOG(1+2*(QCI!$Z$3=QCI!$Z$7)+4*(QCI!$Z$3=QCI!$AA$7)+8*(QCI!$Z$3=QCI!$AB$7),2),0,$AA$24-ROUND(Import.CPMinPerc*$O$24,2),$AA$24-Import.CPMinAbsoluta,Import.Repasse-$Z$24),0)</f>
        <v>0</v>
      </c>
    </row>
    <row r="15" customFormat="false" ht="30" hidden="false" customHeight="true" outlineLevel="0" collapsed="false">
      <c r="A15" s="537" t="n">
        <f aca="true">IF(NOT(ISBLANK(QCI.DescManual)),OFFSET(A15,-1,0),D15)</f>
        <v>2</v>
      </c>
      <c r="B15" s="0" t="str">
        <f aca="false">IF(NOT(ISBLANK(QCI.DescManual)),IF(QCI.Divisao="Calculado","Manual","SemiAuto"),IF(ISERROR(MATCH($A15,ORÇAMENTO!$E$15:$E$59,0)),"Branco","Automático"))</f>
        <v>Branco</v>
      </c>
      <c r="C15" s="0" t="str">
        <f aca="false">IF(O15&gt;0,"F","")</f>
        <v/>
      </c>
      <c r="D15" s="538" t="n">
        <f aca="false">ROW()-ROW($D$13)</f>
        <v>2</v>
      </c>
      <c r="E15" s="539"/>
      <c r="F15" s="539"/>
      <c r="G15" s="343" t="str">
        <f aca="false">IF(OR($B15="Manual",$B15="SemiAuto"),QCI.DescManual,IF($B15="Automático",INDEX(ORÇAMENTO!$R$15:$R$59,MATCH($A15,ORÇAMENTO!$E$15:$E$59,0)),""))</f>
        <v/>
      </c>
      <c r="H15" s="539"/>
      <c r="I15" s="540"/>
      <c r="J15" s="541" t="str">
        <f aca="true">IF(AND(ISBLANK(E15),ISBLANK(F15)),"",VLOOKUP($F15,OFFSET(DADOS!$A$2,1,MATCH(QCI!$E15,DADOS!$2:$2,0)-1,100,50),2,FALSE()))</f>
        <v/>
      </c>
      <c r="K15" s="542" t="str">
        <f aca="false" t="array" ref="K15:K15">IF(OR($B15="Manual",$B15="SemiAuto"),QCI.LoteManual,IF($B15="Automático",IF(TIPOORCAMENTO="Licitado",Import.CTEF,"LOTE 1"),""))</f>
        <v/>
      </c>
      <c r="L15" s="543" t="n">
        <f aca="false">ROUND($O15,2)-ROUND($M15,2)-ROUND($N15,2)</f>
        <v>0</v>
      </c>
      <c r="M15" s="544" t="n">
        <f aca="false">ROUND($AA15,2)-ROUND($AE15,2)</f>
        <v>0</v>
      </c>
      <c r="N15" s="545" t="n">
        <f aca="false">ROUND($AB15,2)</f>
        <v>0</v>
      </c>
      <c r="O15" s="546" t="n">
        <f aca="false" t="array" ref="O15:O15">IF($B15="Branco",0,IF(OR($B15="Manual",$B15="SemiAuto"),QCI.InvManual,INDEX(ORÇAMENTO!X$15:X$59,MATCH($A15,ORÇAMENTO!$E$15:$E$59,0))))</f>
        <v>0</v>
      </c>
      <c r="P15" s="547" t="str">
        <f aca="false">IF(O15=0,"",
  IF(E15="","ITEM",
  IF(F15="","SUBITEM",
  IF(H15="","SITUAÇÃO",
  IF(I15=0,"QUANT.","")))))</f>
        <v/>
      </c>
      <c r="R15" s="548"/>
      <c r="S15" s="549" t="str">
        <f aca="false">IF(R15="","",
  IF(T15=0,"► LOTE",
  IF(U15=0,"► INVEST",
  IF(V15=0,"► DIV",
  IF(AND(V15="Calculado",W15=""),"► CP",
  IF(AND(V15="Calculado",X15=""),"► OU",""))))))</f>
        <v/>
      </c>
      <c r="T15" s="550"/>
      <c r="U15" s="551"/>
      <c r="V15" s="552" t="s">
        <v>962</v>
      </c>
      <c r="W15" s="553"/>
      <c r="X15" s="554"/>
      <c r="Z15" s="0" t="n">
        <f aca="false">$O15-$AA15-$AB15</f>
        <v>0</v>
      </c>
      <c r="AA15" s="0" t="n">
        <f aca="false" t="array" ref="AA15:AA15">IF($B15="Branco",0,IF($B15="Manual",QCI.CPManual,IF($B15="SemiAuto",ROUND(QCI!$AA$3*QCI.InvManual,2),INDEX(ORÇAMENTO!$AA$15:$AA$59,MATCH($A15,ORÇAMENTO!$E$15:$E$59,0)))))</f>
        <v>0</v>
      </c>
      <c r="AB15" s="0" t="n">
        <f aca="false" t="array" ref="AB15:AB15">IF($B15="Branco",0,IF($B15="Manual",QCI.OutrosManual,IF($B15="SemiAuto",0,INDEX(ORÇAMENTO!$AB$15:$AB$59,MATCH($A15,ORÇAMENTO!$E$15:$E$59,0)))))</f>
        <v>0</v>
      </c>
      <c r="AD15" s="555" t="n">
        <f aca="false">AND($AA$3&gt;0,$AA$3&lt;1,$O15&gt;0,OR($B15="Automático",$B15="SemiAuto"),OR(QCI!$Z$3=QCI!$Z$7,QCI!$Z$3=QCI!$AA$7,QCI!$Z$3=QCI!$AB$7))</f>
        <v>0</v>
      </c>
      <c r="AE15" s="555" t="n">
        <f aca="true">IF(AND($AD15,$O15&gt;0,COUNTIF(OFFSET($AD15,1,0):$AD$24,TRUE())=0),CHOOSE(1+LOG(1+2*(QCI!$Z$3=QCI!$Z$7)+4*(QCI!$Z$3=QCI!$AA$7)+8*(QCI!$Z$3=QCI!$AB$7),2),0,$AA$24-ROUND(Import.CPMinPerc*$O$24,2),$AA$24-Import.CPMinAbsoluta,Import.Repasse-$Z$24),0)</f>
        <v>0</v>
      </c>
    </row>
    <row r="16" customFormat="false" ht="30" hidden="false" customHeight="true" outlineLevel="0" collapsed="false">
      <c r="A16" s="537" t="n">
        <f aca="true">IF(NOT(ISBLANK(QCI.DescManual)),OFFSET(A16,-1,0),D16)</f>
        <v>3</v>
      </c>
      <c r="B16" s="0" t="str">
        <f aca="false">IF(NOT(ISBLANK(QCI.DescManual)),IF(QCI.Divisao="Calculado","Manual","SemiAuto"),IF(ISERROR(MATCH($A16,ORÇAMENTO!$E$15:$E$59,0)),"Branco","Automático"))</f>
        <v>Branco</v>
      </c>
      <c r="C16" s="0" t="str">
        <f aca="false">IF(O16&gt;0,"F","")</f>
        <v/>
      </c>
      <c r="D16" s="538" t="n">
        <f aca="false">ROW()-ROW($D$13)</f>
        <v>3</v>
      </c>
      <c r="E16" s="539"/>
      <c r="F16" s="539"/>
      <c r="G16" s="343" t="str">
        <f aca="false">IF(OR($B16="Manual",$B16="SemiAuto"),QCI.DescManual,IF($B16="Automático",INDEX(ORÇAMENTO!$R$15:$R$59,MATCH($A16,ORÇAMENTO!$E$15:$E$59,0)),""))</f>
        <v/>
      </c>
      <c r="H16" s="539"/>
      <c r="I16" s="540"/>
      <c r="J16" s="541" t="str">
        <f aca="true">IF(AND(ISBLANK(E16),ISBLANK(F16)),"",VLOOKUP($F16,OFFSET(DADOS!$A$2,1,MATCH(QCI!$E16,DADOS!$2:$2,0)-1,100,50),2,FALSE()))</f>
        <v/>
      </c>
      <c r="K16" s="542" t="str">
        <f aca="false" t="array" ref="K16:K16">IF(OR($B16="Manual",$B16="SemiAuto"),QCI.LoteManual,IF($B16="Automático",IF(TIPOORCAMENTO="Licitado",Import.CTEF,"LOTE 1"),""))</f>
        <v/>
      </c>
      <c r="L16" s="543" t="n">
        <f aca="false">ROUND($O16,2)-ROUND($M16,2)-ROUND($N16,2)</f>
        <v>0</v>
      </c>
      <c r="M16" s="544" t="n">
        <f aca="false">ROUND($AA16,2)-ROUND($AE16,2)</f>
        <v>0</v>
      </c>
      <c r="N16" s="545" t="n">
        <f aca="false">ROUND($AB16,2)</f>
        <v>0</v>
      </c>
      <c r="O16" s="546" t="n">
        <f aca="false" t="array" ref="O16:O16">IF($B16="Branco",0,IF(OR($B16="Manual",$B16="SemiAuto"),QCI.InvManual,INDEX(ORÇAMENTO!X$15:X$59,MATCH($A16,ORÇAMENTO!$E$15:$E$59,0))))</f>
        <v>0</v>
      </c>
      <c r="P16" s="547" t="str">
        <f aca="false">IF(O16=0,"",
  IF(E16="","ITEM",
  IF(F16="","SUBITEM",
  IF(H16="","SITUAÇÃO",
  IF(I16=0,"QUANT.","")))))</f>
        <v/>
      </c>
      <c r="R16" s="548"/>
      <c r="S16" s="549" t="str">
        <f aca="false">IF(R16="","",
  IF(T16=0,"► LOTE",
  IF(U16=0,"► INVEST",
  IF(V16=0,"► DIV",
  IF(AND(V16="Calculado",W16=""),"► CP",
  IF(AND(V16="Calculado",X16=""),"► OU",""))))))</f>
        <v/>
      </c>
      <c r="T16" s="550"/>
      <c r="U16" s="551"/>
      <c r="V16" s="552" t="s">
        <v>962</v>
      </c>
      <c r="W16" s="553"/>
      <c r="X16" s="554"/>
      <c r="Z16" s="0" t="n">
        <f aca="false">$O16-$AA16-$AB16</f>
        <v>0</v>
      </c>
      <c r="AA16" s="0" t="n">
        <f aca="false" t="array" ref="AA16:AA16">IF($B16="Branco",0,IF($B16="Manual",QCI.CPManual,IF($B16="SemiAuto",ROUND(QCI!$AA$3*QCI.InvManual,2),INDEX(ORÇAMENTO!$AA$15:$AA$59,MATCH($A16,ORÇAMENTO!$E$15:$E$59,0)))))</f>
        <v>0</v>
      </c>
      <c r="AB16" s="0" t="n">
        <f aca="false" t="array" ref="AB16:AB16">IF($B16="Branco",0,IF($B16="Manual",QCI.OutrosManual,IF($B16="SemiAuto",0,INDEX(ORÇAMENTO!$AB$15:$AB$59,MATCH($A16,ORÇAMENTO!$E$15:$E$59,0)))))</f>
        <v>0</v>
      </c>
      <c r="AD16" s="555" t="n">
        <f aca="false">AND($AA$3&gt;0,$AA$3&lt;1,$O16&gt;0,OR($B16="Automático",$B16="SemiAuto"),OR(QCI!$Z$3=QCI!$Z$7,QCI!$Z$3=QCI!$AA$7,QCI!$Z$3=QCI!$AB$7))</f>
        <v>0</v>
      </c>
      <c r="AE16" s="555" t="n">
        <f aca="true">IF(AND($AD16,$O16&gt;0,COUNTIF(OFFSET($AD16,1,0):$AD$24,TRUE())=0),CHOOSE(1+LOG(1+2*(QCI!$Z$3=QCI!$Z$7)+4*(QCI!$Z$3=QCI!$AA$7)+8*(QCI!$Z$3=QCI!$AB$7),2),0,$AA$24-ROUND(Import.CPMinPerc*$O$24,2),$AA$24-Import.CPMinAbsoluta,Import.Repasse-$Z$24),0)</f>
        <v>0</v>
      </c>
    </row>
    <row r="17" customFormat="false" ht="30" hidden="false" customHeight="true" outlineLevel="0" collapsed="false">
      <c r="A17" s="537" t="n">
        <f aca="true">IF(NOT(ISBLANK(QCI.DescManual)),OFFSET(A17,-1,0),D17)</f>
        <v>4</v>
      </c>
      <c r="B17" s="0" t="str">
        <f aca="false">IF(NOT(ISBLANK(QCI.DescManual)),IF(QCI.Divisao="Calculado","Manual","SemiAuto"),IF(ISERROR(MATCH($A17,ORÇAMENTO!$E$15:$E$59,0)),"Branco","Automático"))</f>
        <v>Branco</v>
      </c>
      <c r="C17" s="0" t="str">
        <f aca="false">IF(O17&gt;0,"F","")</f>
        <v/>
      </c>
      <c r="D17" s="538" t="n">
        <f aca="false">ROW()-ROW($D$13)</f>
        <v>4</v>
      </c>
      <c r="E17" s="539"/>
      <c r="F17" s="539"/>
      <c r="G17" s="343" t="str">
        <f aca="false">IF(OR($B17="Manual",$B17="SemiAuto"),QCI.DescManual,IF($B17="Automático",INDEX(ORÇAMENTO!$R$15:$R$59,MATCH($A17,ORÇAMENTO!$E$15:$E$59,0)),""))</f>
        <v/>
      </c>
      <c r="H17" s="539"/>
      <c r="I17" s="540"/>
      <c r="J17" s="541" t="str">
        <f aca="true">IF(AND(ISBLANK(E17),ISBLANK(F17)),"",VLOOKUP($F17,OFFSET(DADOS!$A$2,1,MATCH(QCI!$E17,DADOS!$2:$2,0)-1,100,50),2,FALSE()))</f>
        <v/>
      </c>
      <c r="K17" s="542" t="str">
        <f aca="false" t="array" ref="K17:K17">IF(OR($B17="Manual",$B17="SemiAuto"),QCI.LoteManual,IF($B17="Automático",IF(TIPOORCAMENTO="Licitado",Import.CTEF,"LOTE 1"),""))</f>
        <v/>
      </c>
      <c r="L17" s="543" t="n">
        <f aca="false">ROUND($O17,2)-ROUND($M17,2)-ROUND($N17,2)</f>
        <v>0</v>
      </c>
      <c r="M17" s="544" t="n">
        <f aca="false">ROUND($AA17,2)-ROUND($AE17,2)</f>
        <v>0</v>
      </c>
      <c r="N17" s="545" t="n">
        <f aca="false">ROUND($AB17,2)</f>
        <v>0</v>
      </c>
      <c r="O17" s="546" t="n">
        <f aca="false" t="array" ref="O17:O17">IF($B17="Branco",0,IF(OR($B17="Manual",$B17="SemiAuto"),QCI.InvManual,INDEX(ORÇAMENTO!X$15:X$59,MATCH($A17,ORÇAMENTO!$E$15:$E$59,0))))</f>
        <v>0</v>
      </c>
      <c r="P17" s="547" t="str">
        <f aca="false">IF(O17=0,"",
  IF(E17="","ITEM",
  IF(F17="","SUBITEM",
  IF(H17="","SITUAÇÃO",
  IF(I17=0,"QUANT.","")))))</f>
        <v/>
      </c>
      <c r="R17" s="548"/>
      <c r="S17" s="549" t="str">
        <f aca="false">IF(R17="","",
  IF(T17=0,"► LOTE",
  IF(U17=0,"► INVEST",
  IF(V17=0,"► DIV",
  IF(AND(V17="Calculado",W17=""),"► CP",
  IF(AND(V17="Calculado",X17=""),"► OU",""))))))</f>
        <v/>
      </c>
      <c r="T17" s="550"/>
      <c r="U17" s="551"/>
      <c r="V17" s="552" t="s">
        <v>962</v>
      </c>
      <c r="W17" s="553"/>
      <c r="X17" s="554"/>
      <c r="Z17" s="0" t="n">
        <f aca="false">$O17-$AA17-$AB17</f>
        <v>0</v>
      </c>
      <c r="AA17" s="0" t="n">
        <f aca="false" t="array" ref="AA17:AA17">IF($B17="Branco",0,IF($B17="Manual",QCI.CPManual,IF($B17="SemiAuto",ROUND(QCI!$AA$3*QCI.InvManual,2),INDEX(ORÇAMENTO!$AA$15:$AA$59,MATCH($A17,ORÇAMENTO!$E$15:$E$59,0)))))</f>
        <v>0</v>
      </c>
      <c r="AB17" s="0" t="n">
        <f aca="false" t="array" ref="AB17:AB17">IF($B17="Branco",0,IF($B17="Manual",QCI.OutrosManual,IF($B17="SemiAuto",0,INDEX(ORÇAMENTO!$AB$15:$AB$59,MATCH($A17,ORÇAMENTO!$E$15:$E$59,0)))))</f>
        <v>0</v>
      </c>
      <c r="AD17" s="555" t="n">
        <f aca="false">AND($AA$3&gt;0,$AA$3&lt;1,$O17&gt;0,OR($B17="Automático",$B17="SemiAuto"),OR(QCI!$Z$3=QCI!$Z$7,QCI!$Z$3=QCI!$AA$7,QCI!$Z$3=QCI!$AB$7))</f>
        <v>0</v>
      </c>
      <c r="AE17" s="555" t="n">
        <f aca="true">IF(AND($AD17,$O17&gt;0,COUNTIF(OFFSET($AD17,1,0):$AD$24,TRUE())=0),CHOOSE(1+LOG(1+2*(QCI!$Z$3=QCI!$Z$7)+4*(QCI!$Z$3=QCI!$AA$7)+8*(QCI!$Z$3=QCI!$AB$7),2),0,$AA$24-ROUND(Import.CPMinPerc*$O$24,2),$AA$24-Import.CPMinAbsoluta,Import.Repasse-$Z$24),0)</f>
        <v>0</v>
      </c>
    </row>
    <row r="18" customFormat="false" ht="30" hidden="false" customHeight="true" outlineLevel="0" collapsed="false">
      <c r="A18" s="537" t="n">
        <f aca="true">IF(NOT(ISBLANK(QCI.DescManual)),OFFSET(A18,-1,0),D18)</f>
        <v>5</v>
      </c>
      <c r="B18" s="0" t="str">
        <f aca="false">IF(NOT(ISBLANK(QCI.DescManual)),IF(QCI.Divisao="Calculado","Manual","SemiAuto"),IF(ISERROR(MATCH($A18,ORÇAMENTO!$E$15:$E$59,0)),"Branco","Automático"))</f>
        <v>Branco</v>
      </c>
      <c r="C18" s="0" t="str">
        <f aca="false">IF(O18&gt;0,"F","")</f>
        <v/>
      </c>
      <c r="D18" s="538" t="n">
        <f aca="false">ROW()-ROW($D$13)</f>
        <v>5</v>
      </c>
      <c r="E18" s="539"/>
      <c r="F18" s="539"/>
      <c r="G18" s="343" t="str">
        <f aca="false">IF(OR($B18="Manual",$B18="SemiAuto"),QCI.DescManual,IF($B18="Automático",INDEX(ORÇAMENTO!$R$15:$R$59,MATCH($A18,ORÇAMENTO!$E$15:$E$59,0)),""))</f>
        <v/>
      </c>
      <c r="H18" s="539"/>
      <c r="I18" s="540"/>
      <c r="J18" s="541" t="str">
        <f aca="true">IF(AND(ISBLANK(E18),ISBLANK(F18)),"",VLOOKUP($F18,OFFSET(DADOS!$A$2,1,MATCH(QCI!$E18,DADOS!$2:$2,0)-1,100,50),2,FALSE()))</f>
        <v/>
      </c>
      <c r="K18" s="542" t="str">
        <f aca="false" t="array" ref="K18:K18">IF(OR($B18="Manual",$B18="SemiAuto"),QCI.LoteManual,IF($B18="Automático",IF(TIPOORCAMENTO="Licitado",Import.CTEF,"LOTE 1"),""))</f>
        <v/>
      </c>
      <c r="L18" s="543" t="n">
        <f aca="false">ROUND($O18,2)-ROUND($M18,2)-ROUND($N18,2)</f>
        <v>0</v>
      </c>
      <c r="M18" s="544" t="n">
        <f aca="false">ROUND($AA18,2)-ROUND($AE18,2)</f>
        <v>0</v>
      </c>
      <c r="N18" s="545" t="n">
        <f aca="false">ROUND($AB18,2)</f>
        <v>0</v>
      </c>
      <c r="O18" s="546" t="n">
        <f aca="false" t="array" ref="O18:O18">IF($B18="Branco",0,IF(OR($B18="Manual",$B18="SemiAuto"),QCI.InvManual,INDEX(ORÇAMENTO!X$15:X$59,MATCH($A18,ORÇAMENTO!$E$15:$E$59,0))))</f>
        <v>0</v>
      </c>
      <c r="P18" s="547" t="str">
        <f aca="false">IF(O18=0,"",
  IF(E18="","ITEM",
  IF(F18="","SUBITEM",
  IF(H18="","SITUAÇÃO",
  IF(I18=0,"QUANT.","")))))</f>
        <v/>
      </c>
      <c r="R18" s="548"/>
      <c r="S18" s="549" t="str">
        <f aca="false">IF(R18="","",
  IF(T18=0,"► LOTE",
  IF(U18=0,"► INVEST",
  IF(V18=0,"► DIV",
  IF(AND(V18="Calculado",W18=""),"► CP",
  IF(AND(V18="Calculado",X18=""),"► OU",""))))))</f>
        <v/>
      </c>
      <c r="T18" s="550"/>
      <c r="U18" s="551"/>
      <c r="V18" s="552" t="s">
        <v>962</v>
      </c>
      <c r="W18" s="553"/>
      <c r="X18" s="554"/>
      <c r="Z18" s="0" t="n">
        <f aca="false">$O18-$AA18-$AB18</f>
        <v>0</v>
      </c>
      <c r="AA18" s="0" t="n">
        <f aca="false" t="array" ref="AA18:AA18">IF($B18="Branco",0,IF($B18="Manual",QCI.CPManual,IF($B18="SemiAuto",ROUND(QCI!$AA$3*QCI.InvManual,2),INDEX(ORÇAMENTO!$AA$15:$AA$59,MATCH($A18,ORÇAMENTO!$E$15:$E$59,0)))))</f>
        <v>0</v>
      </c>
      <c r="AB18" s="0" t="n">
        <f aca="false" t="array" ref="AB18:AB18">IF($B18="Branco",0,IF($B18="Manual",QCI.OutrosManual,IF($B18="SemiAuto",0,INDEX(ORÇAMENTO!$AB$15:$AB$59,MATCH($A18,ORÇAMENTO!$E$15:$E$59,0)))))</f>
        <v>0</v>
      </c>
      <c r="AD18" s="555" t="n">
        <f aca="false">AND($AA$3&gt;0,$AA$3&lt;1,$O18&gt;0,OR($B18="Automático",$B18="SemiAuto"),OR(QCI!$Z$3=QCI!$Z$7,QCI!$Z$3=QCI!$AA$7,QCI!$Z$3=QCI!$AB$7))</f>
        <v>0</v>
      </c>
      <c r="AE18" s="555" t="n">
        <f aca="true">IF(AND($AD18,$O18&gt;0,COUNTIF(OFFSET($AD18,1,0):$AD$24,TRUE())=0),CHOOSE(1+LOG(1+2*(QCI!$Z$3=QCI!$Z$7)+4*(QCI!$Z$3=QCI!$AA$7)+8*(QCI!$Z$3=QCI!$AB$7),2),0,$AA$24-ROUND(Import.CPMinPerc*$O$24,2),$AA$24-Import.CPMinAbsoluta,Import.Repasse-$Z$24),0)</f>
        <v>0</v>
      </c>
    </row>
    <row r="19" customFormat="false" ht="30" hidden="false" customHeight="true" outlineLevel="0" collapsed="false">
      <c r="A19" s="537" t="n">
        <f aca="true">IF(NOT(ISBLANK(QCI.DescManual)),OFFSET(A19,-1,0),D19)</f>
        <v>6</v>
      </c>
      <c r="B19" s="0" t="str">
        <f aca="false">IF(NOT(ISBLANK(QCI.DescManual)),IF(QCI.Divisao="Calculado","Manual","SemiAuto"),IF(ISERROR(MATCH($A19,ORÇAMENTO!$E$15:$E$59,0)),"Branco","Automático"))</f>
        <v>Branco</v>
      </c>
      <c r="C19" s="0" t="str">
        <f aca="false">IF(O19&gt;0,"F","")</f>
        <v/>
      </c>
      <c r="D19" s="538" t="n">
        <f aca="false">ROW()-ROW($D$13)</f>
        <v>6</v>
      </c>
      <c r="E19" s="539"/>
      <c r="F19" s="539"/>
      <c r="G19" s="343" t="str">
        <f aca="false">IF(OR($B19="Manual",$B19="SemiAuto"),QCI.DescManual,IF($B19="Automático",INDEX(ORÇAMENTO!$R$15:$R$59,MATCH($A19,ORÇAMENTO!$E$15:$E$59,0)),""))</f>
        <v/>
      </c>
      <c r="H19" s="539"/>
      <c r="I19" s="540"/>
      <c r="J19" s="541" t="str">
        <f aca="true">IF(AND(ISBLANK(E19),ISBLANK(F19)),"",VLOOKUP($F19,OFFSET(DADOS!$A$2,1,MATCH(QCI!$E19,DADOS!$2:$2,0)-1,100,50),2,FALSE()))</f>
        <v/>
      </c>
      <c r="K19" s="542" t="str">
        <f aca="false" t="array" ref="K19:K19">IF(OR($B19="Manual",$B19="SemiAuto"),QCI.LoteManual,IF($B19="Automático",IF(TIPOORCAMENTO="Licitado",Import.CTEF,"LOTE 1"),""))</f>
        <v/>
      </c>
      <c r="L19" s="543" t="n">
        <f aca="false">ROUND($O19,2)-ROUND($M19,2)-ROUND($N19,2)</f>
        <v>0</v>
      </c>
      <c r="M19" s="544" t="n">
        <f aca="false">ROUND($AA19,2)-ROUND($AE19,2)</f>
        <v>0</v>
      </c>
      <c r="N19" s="545" t="n">
        <f aca="false">ROUND($AB19,2)</f>
        <v>0</v>
      </c>
      <c r="O19" s="546" t="n">
        <f aca="false" t="array" ref="O19:O19">IF($B19="Branco",0,IF(OR($B19="Manual",$B19="SemiAuto"),QCI.InvManual,INDEX(ORÇAMENTO!X$15:X$59,MATCH($A19,ORÇAMENTO!$E$15:$E$59,0))))</f>
        <v>0</v>
      </c>
      <c r="P19" s="547" t="str">
        <f aca="false">IF(O19=0,"",
  IF(E19="","ITEM",
  IF(F19="","SUBITEM",
  IF(H19="","SITUAÇÃO",
  IF(I19=0,"QUANT.","")))))</f>
        <v/>
      </c>
      <c r="R19" s="548"/>
      <c r="S19" s="549" t="str">
        <f aca="false">IF(R19="","",
  IF(T19=0,"► LOTE",
  IF(U19=0,"► INVEST",
  IF(V19=0,"► DIV",
  IF(AND(V19="Calculado",W19=""),"► CP",
  IF(AND(V19="Calculado",X19=""),"► OU",""))))))</f>
        <v/>
      </c>
      <c r="T19" s="550"/>
      <c r="U19" s="551"/>
      <c r="V19" s="552" t="s">
        <v>962</v>
      </c>
      <c r="W19" s="553"/>
      <c r="X19" s="554"/>
      <c r="Z19" s="0" t="n">
        <f aca="false">$O19-$AA19-$AB19</f>
        <v>0</v>
      </c>
      <c r="AA19" s="0" t="n">
        <f aca="false" t="array" ref="AA19:AA19">IF($B19="Branco",0,IF($B19="Manual",QCI.CPManual,IF($B19="SemiAuto",ROUND(QCI!$AA$3*QCI.InvManual,2),INDEX(ORÇAMENTO!$AA$15:$AA$59,MATCH($A19,ORÇAMENTO!$E$15:$E$59,0)))))</f>
        <v>0</v>
      </c>
      <c r="AB19" s="0" t="n">
        <f aca="false" t="array" ref="AB19:AB19">IF($B19="Branco",0,IF($B19="Manual",QCI.OutrosManual,IF($B19="SemiAuto",0,INDEX(ORÇAMENTO!$AB$15:$AB$59,MATCH($A19,ORÇAMENTO!$E$15:$E$59,0)))))</f>
        <v>0</v>
      </c>
      <c r="AD19" s="555" t="n">
        <f aca="false">AND($AA$3&gt;0,$AA$3&lt;1,$O19&gt;0,OR($B19="Automático",$B19="SemiAuto"),OR(QCI!$Z$3=QCI!$Z$7,QCI!$Z$3=QCI!$AA$7,QCI!$Z$3=QCI!$AB$7))</f>
        <v>0</v>
      </c>
      <c r="AE19" s="555" t="n">
        <f aca="true">IF(AND($AD19,$O19&gt;0,COUNTIF(OFFSET($AD19,1,0):$AD$24,TRUE())=0),CHOOSE(1+LOG(1+2*(QCI!$Z$3=QCI!$Z$7)+4*(QCI!$Z$3=QCI!$AA$7)+8*(QCI!$Z$3=QCI!$AB$7),2),0,$AA$24-ROUND(Import.CPMinPerc*$O$24,2),$AA$24-Import.CPMinAbsoluta,Import.Repasse-$Z$24),0)</f>
        <v>0</v>
      </c>
    </row>
    <row r="20" customFormat="false" ht="30" hidden="false" customHeight="true" outlineLevel="0" collapsed="false">
      <c r="A20" s="537" t="n">
        <f aca="true">IF(NOT(ISBLANK(QCI.DescManual)),OFFSET(A20,-1,0),D20)</f>
        <v>7</v>
      </c>
      <c r="B20" s="0" t="str">
        <f aca="false">IF(NOT(ISBLANK(QCI.DescManual)),IF(QCI.Divisao="Calculado","Manual","SemiAuto"),IF(ISERROR(MATCH($A20,ORÇAMENTO!$E$15:$E$59,0)),"Branco","Automático"))</f>
        <v>Branco</v>
      </c>
      <c r="C20" s="0" t="str">
        <f aca="false">IF(O20&gt;0,"F","")</f>
        <v/>
      </c>
      <c r="D20" s="538" t="n">
        <f aca="false">ROW()-ROW($D$13)</f>
        <v>7</v>
      </c>
      <c r="E20" s="539"/>
      <c r="F20" s="539"/>
      <c r="G20" s="343" t="str">
        <f aca="false">IF(OR($B20="Manual",$B20="SemiAuto"),QCI.DescManual,IF($B20="Automático",INDEX(ORÇAMENTO!$R$15:$R$59,MATCH($A20,ORÇAMENTO!$E$15:$E$59,0)),""))</f>
        <v/>
      </c>
      <c r="H20" s="539"/>
      <c r="I20" s="540"/>
      <c r="J20" s="541" t="str">
        <f aca="true">IF(AND(ISBLANK(E20),ISBLANK(F20)),"",VLOOKUP($F20,OFFSET(DADOS!$A$2,1,MATCH(QCI!$E20,DADOS!$2:$2,0)-1,100,50),2,FALSE()))</f>
        <v/>
      </c>
      <c r="K20" s="542" t="str">
        <f aca="false" t="array" ref="K20:K20">IF(OR($B20="Manual",$B20="SemiAuto"),QCI.LoteManual,IF($B20="Automático",IF(TIPOORCAMENTO="Licitado",Import.CTEF,"LOTE 1"),""))</f>
        <v/>
      </c>
      <c r="L20" s="543" t="n">
        <f aca="false">ROUND($O20,2)-ROUND($M20,2)-ROUND($N20,2)</f>
        <v>0</v>
      </c>
      <c r="M20" s="544" t="n">
        <f aca="false">ROUND($AA20,2)-ROUND($AE20,2)</f>
        <v>0</v>
      </c>
      <c r="N20" s="545" t="n">
        <f aca="false">ROUND($AB20,2)</f>
        <v>0</v>
      </c>
      <c r="O20" s="546" t="n">
        <f aca="false" t="array" ref="O20:O20">IF($B20="Branco",0,IF(OR($B20="Manual",$B20="SemiAuto"),QCI.InvManual,INDEX(ORÇAMENTO!X$15:X$59,MATCH($A20,ORÇAMENTO!$E$15:$E$59,0))))</f>
        <v>0</v>
      </c>
      <c r="P20" s="547" t="str">
        <f aca="false">IF(O20=0,"",
  IF(E20="","ITEM",
  IF(F20="","SUBITEM",
  IF(H20="","SITUAÇÃO",
  IF(I20=0,"QUANT.","")))))</f>
        <v/>
      </c>
      <c r="R20" s="548"/>
      <c r="S20" s="549" t="str">
        <f aca="false">IF(R20="","",
  IF(T20=0,"► LOTE",
  IF(U20=0,"► INVEST",
  IF(V20=0,"► DIV",
  IF(AND(V20="Calculado",W20=""),"► CP",
  IF(AND(V20="Calculado",X20=""),"► OU",""))))))</f>
        <v/>
      </c>
      <c r="T20" s="550"/>
      <c r="U20" s="551"/>
      <c r="V20" s="552" t="s">
        <v>962</v>
      </c>
      <c r="W20" s="553"/>
      <c r="X20" s="554"/>
      <c r="Z20" s="0" t="n">
        <f aca="false">$O20-$AA20-$AB20</f>
        <v>0</v>
      </c>
      <c r="AA20" s="0" t="n">
        <f aca="false" t="array" ref="AA20:AA20">IF($B20="Branco",0,IF($B20="Manual",QCI.CPManual,IF($B20="SemiAuto",ROUND(QCI!$AA$3*QCI.InvManual,2),INDEX(ORÇAMENTO!$AA$15:$AA$59,MATCH($A20,ORÇAMENTO!$E$15:$E$59,0)))))</f>
        <v>0</v>
      </c>
      <c r="AB20" s="0" t="n">
        <f aca="false" t="array" ref="AB20:AB20">IF($B20="Branco",0,IF($B20="Manual",QCI.OutrosManual,IF($B20="SemiAuto",0,INDEX(ORÇAMENTO!$AB$15:$AB$59,MATCH($A20,ORÇAMENTO!$E$15:$E$59,0)))))</f>
        <v>0</v>
      </c>
      <c r="AD20" s="555" t="n">
        <f aca="false">AND($AA$3&gt;0,$AA$3&lt;1,$O20&gt;0,OR($B20="Automático",$B20="SemiAuto"),OR(QCI!$Z$3=QCI!$Z$7,QCI!$Z$3=QCI!$AA$7,QCI!$Z$3=QCI!$AB$7))</f>
        <v>0</v>
      </c>
      <c r="AE20" s="555" t="n">
        <f aca="true">IF(AND($AD20,$O20&gt;0,COUNTIF(OFFSET($AD20,1,0):$AD$24,TRUE())=0),CHOOSE(1+LOG(1+2*(QCI!$Z$3=QCI!$Z$7)+4*(QCI!$Z$3=QCI!$AA$7)+8*(QCI!$Z$3=QCI!$AB$7),2),0,$AA$24-ROUND(Import.CPMinPerc*$O$24,2),$AA$24-Import.CPMinAbsoluta,Import.Repasse-$Z$24),0)</f>
        <v>0</v>
      </c>
    </row>
    <row r="21" customFormat="false" ht="30" hidden="false" customHeight="true" outlineLevel="0" collapsed="false">
      <c r="A21" s="537" t="n">
        <f aca="true">IF(NOT(ISBLANK(QCI.DescManual)),OFFSET(A21,-1,0),D21)</f>
        <v>8</v>
      </c>
      <c r="B21" s="0" t="str">
        <f aca="false">IF(NOT(ISBLANK(QCI.DescManual)),IF(QCI.Divisao="Calculado","Manual","SemiAuto"),IF(ISERROR(MATCH($A21,ORÇAMENTO!$E$15:$E$59,0)),"Branco","Automático"))</f>
        <v>Branco</v>
      </c>
      <c r="C21" s="0" t="str">
        <f aca="false">IF(O21&gt;0,"F","")</f>
        <v/>
      </c>
      <c r="D21" s="538" t="n">
        <f aca="false">ROW()-ROW($D$13)</f>
        <v>8</v>
      </c>
      <c r="E21" s="539"/>
      <c r="F21" s="539"/>
      <c r="G21" s="343" t="str">
        <f aca="false">IF(OR($B21="Manual",$B21="SemiAuto"),QCI.DescManual,IF($B21="Automático",INDEX(ORÇAMENTO!$R$15:$R$59,MATCH($A21,ORÇAMENTO!$E$15:$E$59,0)),""))</f>
        <v/>
      </c>
      <c r="H21" s="539"/>
      <c r="I21" s="540"/>
      <c r="J21" s="541" t="str">
        <f aca="true">IF(AND(ISBLANK(E21),ISBLANK(F21)),"",VLOOKUP($F21,OFFSET(DADOS!$A$2,1,MATCH(QCI!$E21,DADOS!$2:$2,0)-1,100,50),2,FALSE()))</f>
        <v/>
      </c>
      <c r="K21" s="542" t="str">
        <f aca="false" t="array" ref="K21:K21">IF(OR($B21="Manual",$B21="SemiAuto"),QCI.LoteManual,IF($B21="Automático",IF(TIPOORCAMENTO="Licitado",Import.CTEF,"LOTE 1"),""))</f>
        <v/>
      </c>
      <c r="L21" s="543" t="n">
        <f aca="false">ROUND($O21,2)-ROUND($M21,2)-ROUND($N21,2)</f>
        <v>0</v>
      </c>
      <c r="M21" s="544" t="n">
        <f aca="false">ROUND($AA21,2)-ROUND($AE21,2)</f>
        <v>0</v>
      </c>
      <c r="N21" s="545" t="n">
        <f aca="false">ROUND($AB21,2)</f>
        <v>0</v>
      </c>
      <c r="O21" s="546" t="n">
        <f aca="false" t="array" ref="O21:O21">IF($B21="Branco",0,IF(OR($B21="Manual",$B21="SemiAuto"),QCI.InvManual,INDEX(ORÇAMENTO!X$15:X$59,MATCH($A21,ORÇAMENTO!$E$15:$E$59,0))))</f>
        <v>0</v>
      </c>
      <c r="P21" s="547" t="str">
        <f aca="false">IF(O21=0,"",
  IF(E21="","ITEM",
  IF(F21="","SUBITEM",
  IF(H21="","SITUAÇÃO",
  IF(I21=0,"QUANT.","")))))</f>
        <v/>
      </c>
      <c r="R21" s="548"/>
      <c r="S21" s="549" t="str">
        <f aca="false">IF(R21="","",
  IF(T21=0,"► LOTE",
  IF(U21=0,"► INVEST",
  IF(V21=0,"► DIV",
  IF(AND(V21="Calculado",W21=""),"► CP",
  IF(AND(V21="Calculado",X21=""),"► OU",""))))))</f>
        <v/>
      </c>
      <c r="T21" s="550"/>
      <c r="U21" s="551"/>
      <c r="V21" s="552" t="s">
        <v>962</v>
      </c>
      <c r="W21" s="553"/>
      <c r="X21" s="554"/>
      <c r="Z21" s="0" t="n">
        <f aca="false">$O21-$AA21-$AB21</f>
        <v>0</v>
      </c>
      <c r="AA21" s="0" t="n">
        <f aca="false" t="array" ref="AA21:AA21">IF($B21="Branco",0,IF($B21="Manual",QCI.CPManual,IF($B21="SemiAuto",ROUND(QCI!$AA$3*QCI.InvManual,2),INDEX(ORÇAMENTO!$AA$15:$AA$59,MATCH($A21,ORÇAMENTO!$E$15:$E$59,0)))))</f>
        <v>0</v>
      </c>
      <c r="AB21" s="0" t="n">
        <f aca="false" t="array" ref="AB21:AB21">IF($B21="Branco",0,IF($B21="Manual",QCI.OutrosManual,IF($B21="SemiAuto",0,INDEX(ORÇAMENTO!$AB$15:$AB$59,MATCH($A21,ORÇAMENTO!$E$15:$E$59,0)))))</f>
        <v>0</v>
      </c>
      <c r="AD21" s="555" t="n">
        <f aca="false">AND($AA$3&gt;0,$AA$3&lt;1,$O21&gt;0,OR($B21="Automático",$B21="SemiAuto"),OR(QCI!$Z$3=QCI!$Z$7,QCI!$Z$3=QCI!$AA$7,QCI!$Z$3=QCI!$AB$7))</f>
        <v>0</v>
      </c>
      <c r="AE21" s="555" t="n">
        <f aca="true">IF(AND($AD21,$O21&gt;0,COUNTIF(OFFSET($AD21,1,0):$AD$24,TRUE())=0),CHOOSE(1+LOG(1+2*(QCI!$Z$3=QCI!$Z$7)+4*(QCI!$Z$3=QCI!$AA$7)+8*(QCI!$Z$3=QCI!$AB$7),2),0,$AA$24-ROUND(Import.CPMinPerc*$O$24,2),$AA$24-Import.CPMinAbsoluta,Import.Repasse-$Z$24),0)</f>
        <v>0</v>
      </c>
    </row>
    <row r="22" customFormat="false" ht="30" hidden="false" customHeight="true" outlineLevel="0" collapsed="false">
      <c r="A22" s="537" t="n">
        <f aca="true">IF(NOT(ISBLANK(QCI.DescManual)),OFFSET(A22,-1,0),D22)</f>
        <v>9</v>
      </c>
      <c r="B22" s="0" t="str">
        <f aca="false">IF(NOT(ISBLANK(QCI.DescManual)),IF(QCI.Divisao="Calculado","Manual","SemiAuto"),IF(ISERROR(MATCH($A22,ORÇAMENTO!$E$15:$E$59,0)),"Branco","Automático"))</f>
        <v>Branco</v>
      </c>
      <c r="C22" s="0" t="str">
        <f aca="false">IF(O22&gt;0,"F","")</f>
        <v/>
      </c>
      <c r="D22" s="538" t="n">
        <f aca="false">ROW()-ROW($D$13)</f>
        <v>9</v>
      </c>
      <c r="E22" s="539"/>
      <c r="F22" s="539"/>
      <c r="G22" s="343" t="str">
        <f aca="false">IF(OR($B22="Manual",$B22="SemiAuto"),QCI.DescManual,IF($B22="Automático",INDEX(ORÇAMENTO!$R$15:$R$59,MATCH($A22,ORÇAMENTO!$E$15:$E$59,0)),""))</f>
        <v/>
      </c>
      <c r="H22" s="539"/>
      <c r="I22" s="540"/>
      <c r="J22" s="541" t="str">
        <f aca="true">IF(AND(ISBLANK(E22),ISBLANK(F22)),"",VLOOKUP($F22,OFFSET(DADOS!$A$2,1,MATCH(QCI!$E22,DADOS!$2:$2,0)-1,100,50),2,FALSE()))</f>
        <v/>
      </c>
      <c r="K22" s="542" t="str">
        <f aca="false" t="array" ref="K22:K22">IF(OR($B22="Manual",$B22="SemiAuto"),QCI.LoteManual,IF($B22="Automático",IF(TIPOORCAMENTO="Licitado",Import.CTEF,"LOTE 1"),""))</f>
        <v/>
      </c>
      <c r="L22" s="543" t="n">
        <f aca="false">ROUND($O22,2)-ROUND($M22,2)-ROUND($N22,2)</f>
        <v>0</v>
      </c>
      <c r="M22" s="544" t="n">
        <f aca="false">ROUND($AA22,2)-ROUND($AE22,2)</f>
        <v>0</v>
      </c>
      <c r="N22" s="545" t="n">
        <f aca="false">ROUND($AB22,2)</f>
        <v>0</v>
      </c>
      <c r="O22" s="546" t="n">
        <f aca="false" t="array" ref="O22:O22">IF($B22="Branco",0,IF(OR($B22="Manual",$B22="SemiAuto"),QCI.InvManual,INDEX(ORÇAMENTO!X$15:X$59,MATCH($A22,ORÇAMENTO!$E$15:$E$59,0))))</f>
        <v>0</v>
      </c>
      <c r="P22" s="547" t="str">
        <f aca="false">IF(O22=0,"",
  IF(E22="","ITEM",
  IF(F22="","SUBITEM",
  IF(H22="","SITUAÇÃO",
  IF(I22=0,"QUANT.","")))))</f>
        <v/>
      </c>
      <c r="R22" s="548"/>
      <c r="S22" s="549" t="str">
        <f aca="false">IF(R22="","",
  IF(T22=0,"► LOTE",
  IF(U22=0,"► INVEST",
  IF(V22=0,"► DIV",
  IF(AND(V22="Calculado",W22=""),"► CP",
  IF(AND(V22="Calculado",X22=""),"► OU",""))))))</f>
        <v/>
      </c>
      <c r="T22" s="550"/>
      <c r="U22" s="551"/>
      <c r="V22" s="552" t="s">
        <v>962</v>
      </c>
      <c r="W22" s="553"/>
      <c r="X22" s="554"/>
      <c r="Z22" s="0" t="n">
        <f aca="false">$O22-$AA22-$AB22</f>
        <v>0</v>
      </c>
      <c r="AA22" s="0" t="n">
        <f aca="false" t="array" ref="AA22:AA22">IF($B22="Branco",0,IF($B22="Manual",QCI.CPManual,IF($B22="SemiAuto",ROUND(QCI!$AA$3*QCI.InvManual,2),INDEX(ORÇAMENTO!$AA$15:$AA$59,MATCH($A22,ORÇAMENTO!$E$15:$E$59,0)))))</f>
        <v>0</v>
      </c>
      <c r="AB22" s="0" t="n">
        <f aca="false" t="array" ref="AB22:AB22">IF($B22="Branco",0,IF($B22="Manual",QCI.OutrosManual,IF($B22="SemiAuto",0,INDEX(ORÇAMENTO!$AB$15:$AB$59,MATCH($A22,ORÇAMENTO!$E$15:$E$59,0)))))</f>
        <v>0</v>
      </c>
      <c r="AD22" s="555" t="n">
        <f aca="false">AND($AA$3&gt;0,$AA$3&lt;1,$O22&gt;0,OR($B22="Automático",$B22="SemiAuto"),OR(QCI!$Z$3=QCI!$Z$7,QCI!$Z$3=QCI!$AA$7,QCI!$Z$3=QCI!$AB$7))</f>
        <v>0</v>
      </c>
      <c r="AE22" s="555" t="n">
        <f aca="true">IF(AND($AD22,$O22&gt;0,COUNTIF(OFFSET($AD22,1,0):$AD$24,TRUE())=0),CHOOSE(1+LOG(1+2*(QCI!$Z$3=QCI!$Z$7)+4*(QCI!$Z$3=QCI!$AA$7)+8*(QCI!$Z$3=QCI!$AB$7),2),0,$AA$24-ROUND(Import.CPMinPerc*$O$24,2),$AA$24-Import.CPMinAbsoluta,Import.Repasse-$Z$24),0)</f>
        <v>0</v>
      </c>
    </row>
    <row r="23" customFormat="false" ht="30" hidden="false" customHeight="true" outlineLevel="0" collapsed="false">
      <c r="A23" s="537" t="n">
        <f aca="true">IF(NOT(ISBLANK(QCI.DescManual)),OFFSET(A23,-1,0),D23)</f>
        <v>10</v>
      </c>
      <c r="B23" s="0" t="str">
        <f aca="false">IF(NOT(ISBLANK(QCI.DescManual)),IF(QCI.Divisao="Calculado","Manual","SemiAuto"),IF(ISERROR(MATCH($A23,ORÇAMENTO!$E$15:$E$59,0)),"Branco","Automático"))</f>
        <v>Branco</v>
      </c>
      <c r="C23" s="0" t="str">
        <f aca="false">IF(O23&gt;0,"F","")</f>
        <v/>
      </c>
      <c r="D23" s="538" t="n">
        <f aca="false">ROW()-ROW($D$13)</f>
        <v>10</v>
      </c>
      <c r="E23" s="539"/>
      <c r="F23" s="539"/>
      <c r="G23" s="343" t="str">
        <f aca="false">IF(OR($B23="Manual",$B23="SemiAuto"),QCI.DescManual,IF($B23="Automático",INDEX(ORÇAMENTO!$R$15:$R$59,MATCH($A23,ORÇAMENTO!$E$15:$E$59,0)),""))</f>
        <v/>
      </c>
      <c r="H23" s="539"/>
      <c r="I23" s="540"/>
      <c r="J23" s="541" t="str">
        <f aca="true">IF(AND(ISBLANK(E23),ISBLANK(F23)),"",VLOOKUP($F23,OFFSET(DADOS!$A$2,1,MATCH(QCI!$E23,DADOS!$2:$2,0)-1,100,50),2,FALSE()))</f>
        <v/>
      </c>
      <c r="K23" s="542" t="str">
        <f aca="false" t="array" ref="K23:K23">IF(OR($B23="Manual",$B23="SemiAuto"),QCI.LoteManual,IF($B23="Automático",IF(TIPOORCAMENTO="Licitado",Import.CTEF,"LOTE 1"),""))</f>
        <v/>
      </c>
      <c r="L23" s="543" t="n">
        <f aca="false">ROUND($O23,2)-ROUND($M23,2)-ROUND($N23,2)</f>
        <v>0</v>
      </c>
      <c r="M23" s="544" t="n">
        <f aca="false">ROUND($AA23,2)-ROUND($AE23,2)</f>
        <v>0</v>
      </c>
      <c r="N23" s="545" t="n">
        <f aca="false">ROUND($AB23,2)</f>
        <v>0</v>
      </c>
      <c r="O23" s="546" t="n">
        <f aca="false" t="array" ref="O23:O23">IF($B23="Branco",0,IF(OR($B23="Manual",$B23="SemiAuto"),QCI.InvManual,INDEX(ORÇAMENTO!X$15:X$59,MATCH($A23,ORÇAMENTO!$E$15:$E$59,0))))</f>
        <v>0</v>
      </c>
      <c r="P23" s="547" t="str">
        <f aca="false">IF(O23=0,"",
  IF(E23="","ITEM",
  IF(F23="","SUBITEM",
  IF(H23="","SITUAÇÃO",
  IF(I23=0,"QUANT.","")))))</f>
        <v/>
      </c>
      <c r="R23" s="548"/>
      <c r="S23" s="549" t="str">
        <f aca="false">IF(R23="","",
  IF(T23=0,"► LOTE",
  IF(U23=0,"► INVEST",
  IF(V23=0,"► DIV",
  IF(AND(V23="Calculado",W23=""),"► CP",
  IF(AND(V23="Calculado",X23=""),"► OU",""))))))</f>
        <v/>
      </c>
      <c r="T23" s="550"/>
      <c r="U23" s="551"/>
      <c r="V23" s="552" t="s">
        <v>962</v>
      </c>
      <c r="W23" s="553"/>
      <c r="X23" s="554"/>
      <c r="Z23" s="0" t="n">
        <f aca="false">$O23-$AA23-$AB23</f>
        <v>0</v>
      </c>
      <c r="AA23" s="0" t="n">
        <f aca="false" t="array" ref="AA23:AA23">IF($B23="Branco",0,IF($B23="Manual",QCI.CPManual,IF($B23="SemiAuto",ROUND(QCI!$AA$3*QCI.InvManual,2),INDEX(ORÇAMENTO!$AA$15:$AA$59,MATCH($A23,ORÇAMENTO!$E$15:$E$59,0)))))</f>
        <v>0</v>
      </c>
      <c r="AB23" s="0" t="n">
        <f aca="false" t="array" ref="AB23:AB23">IF($B23="Branco",0,IF($B23="Manual",QCI.OutrosManual,IF($B23="SemiAuto",0,INDEX(ORÇAMENTO!$AB$15:$AB$59,MATCH($A23,ORÇAMENTO!$E$15:$E$59,0)))))</f>
        <v>0</v>
      </c>
      <c r="AD23" s="555" t="n">
        <f aca="false">AND($AA$3&gt;0,$AA$3&lt;1,$O23&gt;0,OR($B23="Automático",$B23="SemiAuto"),OR(QCI!$Z$3=QCI!$Z$7,QCI!$Z$3=QCI!$AA$7,QCI!$Z$3=QCI!$AB$7))</f>
        <v>0</v>
      </c>
      <c r="AE23" s="555" t="n">
        <f aca="true">IF(AND($AD23,$O23&gt;0,COUNTIF(OFFSET($AD23,1,0):$AD$24,TRUE())=0),CHOOSE(1+LOG(1+2*(QCI!$Z$3=QCI!$Z$7)+4*(QCI!$Z$3=QCI!$AA$7)+8*(QCI!$Z$3=QCI!$AB$7),2),0,$AA$24-ROUND(Import.CPMinPerc*$O$24,2),$AA$24-Import.CPMinAbsoluta,Import.Repasse-$Z$24),0)</f>
        <v>0</v>
      </c>
    </row>
    <row r="24" customFormat="false" ht="14.15" hidden="false" customHeight="false" outlineLevel="0" collapsed="false">
      <c r="B24" s="0" t="s">
        <v>977</v>
      </c>
      <c r="C24" s="0" t="s">
        <v>596</v>
      </c>
      <c r="D24" s="561"/>
      <c r="E24" s="562"/>
      <c r="F24" s="562"/>
      <c r="G24" s="562"/>
      <c r="H24" s="562"/>
      <c r="I24" s="562"/>
      <c r="J24" s="562"/>
      <c r="K24" s="563" t="s">
        <v>978</v>
      </c>
      <c r="L24" s="564" t="n">
        <f aca="true">SUM(L13:OFFSET(L24,-1,0))</f>
        <v>0</v>
      </c>
      <c r="M24" s="565" t="n">
        <f aca="true">SUM(M13:OFFSET(M24,-1,0))</f>
        <v>0</v>
      </c>
      <c r="N24" s="566" t="n">
        <f aca="true">SUM(N13:OFFSET(N24,-1,0))</f>
        <v>0</v>
      </c>
      <c r="O24" s="567" t="n">
        <f aca="true">SUM(O13:OFFSET(O24,-1,0))</f>
        <v>0</v>
      </c>
      <c r="R24" s="568"/>
      <c r="T24" s="569"/>
      <c r="U24" s="570"/>
      <c r="V24" s="571"/>
      <c r="W24" s="572"/>
      <c r="X24" s="573"/>
      <c r="Z24" s="170" t="n">
        <f aca="true">SUMPRODUCT(ROUND(Z13:OFFSET(Z24,-1,0),2))</f>
        <v>0</v>
      </c>
      <c r="AA24" s="170" t="n">
        <f aca="true">SUMPRODUCT(ROUND(AA13:OFFSET(AA24,-1,0),2))</f>
        <v>0</v>
      </c>
      <c r="AB24" s="170" t="n">
        <f aca="true">SUM(AB13:OFFSET(AB24,-1,0))</f>
        <v>0</v>
      </c>
    </row>
    <row r="25" customFormat="false" ht="12.75" hidden="false" customHeight="false" outlineLevel="0" collapsed="false">
      <c r="B25" s="0" t="s">
        <v>979</v>
      </c>
      <c r="C25" s="0" t="s">
        <v>596</v>
      </c>
      <c r="D25" s="574"/>
      <c r="E25" s="575"/>
      <c r="F25" s="575"/>
      <c r="G25" s="575"/>
      <c r="H25" s="575"/>
      <c r="I25" s="575"/>
      <c r="J25" s="575"/>
      <c r="K25" s="563"/>
      <c r="L25" s="576" t="n">
        <f aca="false">IF(ISERROR(L24/$O24),0,ROUND(L24/$O24,4))</f>
        <v>0</v>
      </c>
      <c r="M25" s="577" t="n">
        <f aca="false">IF(ISERROR(M24/$O24),0,ROUND(M24/$O24,4))</f>
        <v>0</v>
      </c>
      <c r="N25" s="578" t="n">
        <f aca="false">IF(ISERROR(N24/$O24),0,ROUND(N24/$O24,4))</f>
        <v>0</v>
      </c>
      <c r="O25" s="579" t="n">
        <f aca="false">IF(ISERROR(O24/$O24),0,ROUND(O24/$O24,4))</f>
        <v>0</v>
      </c>
      <c r="R25" s="580"/>
      <c r="T25" s="581"/>
      <c r="U25" s="582"/>
      <c r="V25" s="583"/>
      <c r="W25" s="584"/>
      <c r="X25" s="585"/>
    </row>
    <row r="27" customFormat="false" ht="13.8" hidden="false" customHeight="false" outlineLevel="0" collapsed="false">
      <c r="D27" s="251" t="s">
        <v>751</v>
      </c>
    </row>
    <row r="28" customFormat="false" ht="12.75" hidden="false" customHeight="true" outlineLevel="0" collapsed="false">
      <c r="D28" s="252"/>
      <c r="E28" s="252"/>
      <c r="F28" s="252"/>
      <c r="G28" s="252"/>
      <c r="H28" s="252"/>
      <c r="I28" s="252"/>
      <c r="J28" s="252"/>
      <c r="K28" s="252"/>
      <c r="L28" s="252"/>
      <c r="M28" s="252"/>
      <c r="N28" s="252"/>
      <c r="O28" s="252"/>
    </row>
    <row r="29" customFormat="false" ht="12.75" hidden="false" customHeight="true" outlineLevel="0" collapsed="false">
      <c r="D29" s="252"/>
      <c r="E29" s="252"/>
      <c r="F29" s="252"/>
      <c r="G29" s="252"/>
      <c r="H29" s="252"/>
      <c r="I29" s="252"/>
      <c r="J29" s="252"/>
      <c r="K29" s="252"/>
      <c r="L29" s="252"/>
      <c r="M29" s="252"/>
      <c r="N29" s="252"/>
      <c r="O29" s="252"/>
    </row>
    <row r="30" customFormat="false" ht="12.75" hidden="false" customHeight="true" outlineLevel="0" collapsed="false">
      <c r="D30" s="252"/>
      <c r="E30" s="252"/>
      <c r="F30" s="252"/>
      <c r="G30" s="252"/>
      <c r="H30" s="252"/>
      <c r="I30" s="252"/>
      <c r="J30" s="252"/>
      <c r="K30" s="252"/>
      <c r="L30" s="252"/>
      <c r="M30" s="252"/>
      <c r="N30" s="252"/>
      <c r="O30" s="252"/>
    </row>
    <row r="33" customFormat="false" ht="13.8" hidden="false" customHeight="false" outlineLevel="0" collapsed="false">
      <c r="D33" s="258" t="str">
        <f aca="false">Import.Município</f>
        <v>TRAMANDAI/RS</v>
      </c>
      <c r="E33" s="258"/>
      <c r="F33" s="258"/>
      <c r="I33" s="259"/>
      <c r="J33" s="259"/>
      <c r="K33" s="46"/>
      <c r="L33" s="46"/>
    </row>
    <row r="34" customFormat="false" ht="12.75" hidden="false" customHeight="false" outlineLevel="0" collapsed="false">
      <c r="D34" s="52" t="s">
        <v>755</v>
      </c>
      <c r="I34" s="260" t="s">
        <v>980</v>
      </c>
      <c r="J34" s="260"/>
    </row>
    <row r="35" customFormat="false" ht="12.75" hidden="false" customHeight="false" outlineLevel="0" collapsed="false">
      <c r="I35" s="148" t="str">
        <f aca="false">"Nome:" &amp;  " " &amp; DADOS!C28</f>
        <v>Nome: JUAREZ MARQUES DA SILVA</v>
      </c>
    </row>
    <row r="36" customFormat="false" ht="12.75" hidden="false" customHeight="false" outlineLevel="0" collapsed="false">
      <c r="D36" s="261" t="n">
        <f aca="false">DADOS!$C$25</f>
        <v>46098</v>
      </c>
      <c r="E36" s="261"/>
      <c r="F36" s="261"/>
      <c r="I36" s="148" t="str">
        <f aca="false">"Cargo:"  &amp; " " &amp; DADOS!C29</f>
        <v>Cargo: PREFEITO MUNICIPAL</v>
      </c>
    </row>
    <row r="37" customFormat="false" ht="12.75" hidden="false" customHeight="false" outlineLevel="0" collapsed="false">
      <c r="D37" s="262" t="s">
        <v>756</v>
      </c>
      <c r="E37" s="32"/>
      <c r="F37" s="32"/>
      <c r="K37" s="148"/>
      <c r="L37" s="149"/>
    </row>
  </sheetData>
  <sheetProtection algorithmName="SHA-512" hashValue="IgE3FP+IpAsaTd25T4kPZ/ihr31WUYZIgXsqHX3gwlP2oGrEDpXRciLPLF2IFv1JWLY8OYUWQiwGQMzOag0pEw==" saltValue="A5sok8wCLGZj03V0DToyug==" spinCount="100000" sheet="true" objects="true" scenarios="true" autoFilter="false"/>
  <autoFilter ref="C13:C25"/>
  <mergeCells count="20">
    <mergeCell ref="D3:E3"/>
    <mergeCell ref="G3:I3"/>
    <mergeCell ref="J3:L3"/>
    <mergeCell ref="M3:O4"/>
    <mergeCell ref="D4:E4"/>
    <mergeCell ref="G4:I4"/>
    <mergeCell ref="J4:L4"/>
    <mergeCell ref="D6:K6"/>
    <mergeCell ref="C7:C11"/>
    <mergeCell ref="D7:K7"/>
    <mergeCell ref="G9:H10"/>
    <mergeCell ref="K9:K10"/>
    <mergeCell ref="AD9:AE9"/>
    <mergeCell ref="A10:A11"/>
    <mergeCell ref="Z10:AB10"/>
    <mergeCell ref="AD10:AE10"/>
    <mergeCell ref="K24:K25"/>
    <mergeCell ref="D28:O30"/>
    <mergeCell ref="D33:F33"/>
    <mergeCell ref="D36:F36"/>
  </mergeCells>
  <conditionalFormatting sqref="T23:V23">
    <cfRule type="expression" priority="2" aboveAverage="0" equalAverage="0" bottom="0" percent="0" rank="0" text="" dxfId="387">
      <formula>OR($B23="Automático",$B23="Branco")</formula>
    </cfRule>
  </conditionalFormatting>
  <conditionalFormatting sqref="L23">
    <cfRule type="expression" priority="3" aboveAverage="0" equalAverage="0" bottom="0" percent="0" rank="0" text="" dxfId="388">
      <formula>OR(L23&lt;0,AND(L$13="Contrapartida Financeira (R$)",$B23="T%",OR(L23&lt;Import.CPMinPerc,AND(L23&gt;Import.CPMaxPerc,Import.CPMaxPerc&gt;0))),AND(L$13="Contrapartida Financeira (R$)",$B23="TR$",L23&lt;Import.CPMinAbsoluta))</formula>
    </cfRule>
  </conditionalFormatting>
  <conditionalFormatting sqref="W23:X23">
    <cfRule type="expression" priority="4" aboveAverage="0" equalAverage="0" bottom="0" percent="0" rank="0" text="" dxfId="389">
      <formula>OR($B23="Automático",$B23="Branco",$V23&lt;&gt;"Calculado")</formula>
    </cfRule>
  </conditionalFormatting>
  <conditionalFormatting sqref="G23">
    <cfRule type="cellIs" priority="5" operator="equal" aboveAverage="0" equalAverage="0" bottom="0" percent="0" rank="0" text="" dxfId="390">
      <formula>"(digite a descrição aqui)"</formula>
    </cfRule>
  </conditionalFormatting>
  <conditionalFormatting sqref="T14:V22">
    <cfRule type="expression" priority="6" aboveAverage="0" equalAverage="0" bottom="0" percent="0" rank="0" text="" dxfId="391">
      <formula>OR($B14="Automático",$B14="Branco")</formula>
    </cfRule>
  </conditionalFormatting>
  <conditionalFormatting sqref="L14:L22">
    <cfRule type="expression" priority="7" aboveAverage="0" equalAverage="0" bottom="0" percent="0" rank="0" text="" dxfId="392">
      <formula>OR(L14&lt;0,AND(L$13="Contrapartida Financeira (R$)",$B14="T%",OR(L14&lt;Import.CPMinPerc,AND(L14&gt;Import.CPMaxPerc,Import.CPMaxPerc&gt;0))),AND(L$13="Contrapartida Financeira (R$)",$B14="TR$",L14&lt;Import.CPMinAbsoluta))</formula>
    </cfRule>
  </conditionalFormatting>
  <conditionalFormatting sqref="W14:X22">
    <cfRule type="expression" priority="8" aboveAverage="0" equalAverage="0" bottom="0" percent="0" rank="0" text="" dxfId="393">
      <formula>OR($B14="Automático",$B14="Branco",$V14&lt;&gt;"Calculado")</formula>
    </cfRule>
  </conditionalFormatting>
  <conditionalFormatting sqref="G14:G22">
    <cfRule type="cellIs" priority="9" operator="equal" aboveAverage="0" equalAverage="0" bottom="0" percent="0" rank="0" text="" dxfId="394">
      <formula>"(digite a descrição aqui)"</formula>
    </cfRule>
  </conditionalFormatting>
  <conditionalFormatting sqref="T12:V12">
    <cfRule type="expression" priority="10" aboveAverage="0" equalAverage="0" bottom="0" percent="0" rank="0" text="" dxfId="395">
      <formula>OR($B12="Automático",$B12="Branco")</formula>
    </cfRule>
  </conditionalFormatting>
  <conditionalFormatting sqref="L12">
    <cfRule type="expression" priority="11" aboveAverage="0" equalAverage="0" bottom="0" percent="0" rank="0" text="" dxfId="396">
      <formula>OR(L12&lt;0,AND(L$13="Contrapartida Financeira (R$)",$B12="T%",OR(L12&lt;Import.CPMinPerc,AND(L12&gt;Import.CPMaxPerc,Import.CPMaxPerc&gt;0))),AND(L$13="Contrapartida Financeira (R$)",$B12="TR$",L12&lt;Import.CPMinAbsoluta))</formula>
    </cfRule>
  </conditionalFormatting>
  <conditionalFormatting sqref="W12:X12">
    <cfRule type="expression" priority="12" aboveAverage="0" equalAverage="0" bottom="0" percent="0" rank="0" text="" dxfId="397">
      <formula>OR($B12="Automático",$B12="Branco",$V12&lt;&gt;"Calculado")</formula>
    </cfRule>
  </conditionalFormatting>
  <conditionalFormatting sqref="M25">
    <cfRule type="expression" priority="13" aboveAverage="0" equalAverage="0" bottom="0" percent="0" rank="0" text="" dxfId="398">
      <formula>AND($G$9&lt;&gt;"",OR($M$25&lt;Import.CPMinPerc,$M$25&gt;Import.CPMaxPerc))</formula>
    </cfRule>
  </conditionalFormatting>
  <conditionalFormatting sqref="M24">
    <cfRule type="expression" priority="14" aboveAverage="0" equalAverage="0" bottom="0" percent="0" rank="0" text="" dxfId="399">
      <formula>AND($G$9&lt;&gt;"",$M$24&lt;Import.CPMinAbsoluta)</formula>
    </cfRule>
  </conditionalFormatting>
  <conditionalFormatting sqref="L10:M10">
    <cfRule type="cellIs" priority="15" operator="lessThan" aboveAverage="0" equalAverage="0" bottom="0" percent="0" rank="0" text="" dxfId="400">
      <formula>0</formula>
    </cfRule>
  </conditionalFormatting>
  <conditionalFormatting sqref="G12">
    <cfRule type="cellIs" priority="16" operator="equal" aboveAverage="0" equalAverage="0" bottom="0" percent="0" rank="0" text="" dxfId="401">
      <formula>"(digite a descrição aqui)"</formula>
    </cfRule>
  </conditionalFormatting>
  <dataValidations count="9">
    <dataValidation allowBlank="true" error="Digite apenas números decimais maiores do que 0." errorStyle="stop" operator="greaterThan" showDropDown="false" showErrorMessage="true" showInputMessage="false" sqref="U12 U14:U23" type="decimal">
      <formula1>0</formula1>
      <formula2>0</formula2>
    </dataValidation>
    <dataValidation allowBlank="true" error="Digite valores maiores do que 0." errorStyle="stop" errorTitle="Erro" operator="greaterThan" showDropDown="false" showErrorMessage="true" showInputMessage="false" sqref="I12 I14:I23" type="decimal">
      <formula1>0</formula1>
      <formula2>0</formula2>
    </dataValidation>
    <dataValidation allowBlank="true" error="Digite somente valor de 0,00 ao valor do Investimento. A Somatória dos valores não deve ultrapassar o valor de Investimento." errorStyle="stop" errorTitle="Erro de valor" operator="between" prompt="Digite o valor de Contrapartida Financeira para esta Meta." promptTitle="Contrapartida Financeira:" showDropDown="false" showErrorMessage="true" showInputMessage="true" sqref="W12 W14:W23" type="decimal">
      <formula1>0</formula1>
      <formula2>QCI.MaxCPManual</formula2>
    </dataValidation>
    <dataValidation allowBlank="true" error="Digite somente valor de 0,00 ao valor do Investimento. A Somatória dos valores não deve ultrapassar o valor de Investimento." errorStyle="stop" errorTitle="Erro de valor" operator="between" prompt="Digite o valor de Contrapartida Física / Outros para esta Meta." promptTitle="Contrapartida Física / Outros:" showDropDown="false" showErrorMessage="true" showInputMessage="true" sqref="X12 X14:X23" type="decimal">
      <formula1>0</formula1>
      <formula2>QCI.MaxOUManual</formula2>
    </dataValidation>
    <dataValidation allowBlank="true" errorStyle="stop" operator="between" prompt="Preencha somente se a meta não fizer parte do Orçamento desta Plan. Mult." showDropDown="false" showErrorMessage="true" showInputMessage="true" sqref="R12 R14:R23" type="none">
      <formula1>0</formula1>
      <formula2>0</formula2>
    </dataValidation>
    <dataValidation allowBlank="true" error="Selecione uma opção da lista." errorStyle="stop" errorTitle="Erro:" operator="between" prompt="Selecione uma opção da lista." showDropDown="false" showErrorMessage="true" showInputMessage="true" sqref="H12 H14:H23" type="list">
      <formula1>QCI.Lista.Situação</formula1>
      <formula2>0</formula2>
    </dataValidation>
    <dataValidation allowBlank="true" error="Selecione uma opção da lista." errorStyle="stop" errorTitle="Erro:" operator="between" prompt="Selecione uma opção da lista." showDropDown="false" showErrorMessage="true" showInputMessage="true" sqref="F12 F14:F23" type="list">
      <formula1>QCI.SubItemInvestimento</formula1>
      <formula2>0</formula2>
    </dataValidation>
    <dataValidation allowBlank="true" error="Selecione uma opção da lista." errorStyle="stop" errorTitle="Erro:" operator="between" prompt="Selecione uma opção da lista." showDropDown="false" showErrorMessage="true" showInputMessage="true" sqref="E12 E14:E23" type="list">
      <formula1>QCI.ItemInvestimento</formula1>
      <formula2>0</formula2>
    </dataValidation>
    <dataValidation allowBlank="true" error="Selecione uma opção da lista." errorStyle="stop" errorTitle="Erro:" operator="between" prompt="Selecione uma opção da lista." showDropDown="false" showErrorMessage="true" showInputMessage="true" sqref="V12 V14:V23" type="list">
      <formula1>QCI.Lista.DivisãoInvest</formula1>
      <formula2>0</formula2>
    </dataValidation>
  </dataValidations>
  <printOptions headings="false" gridLines="false" gridLinesSet="true" horizontalCentered="false" verticalCentered="false"/>
  <pageMargins left="0.7875" right="0.7875" top="0.786805555555556" bottom="0.786805555555556" header="0.590277777777778" footer="0.590277777777778"/>
  <pageSetup paperSize="9" scale="100" fitToWidth="1" fitToHeight="0" pageOrder="downThenOver" orientation="landscape" blackAndWhite="false" draft="false" cellComments="none" horizontalDpi="300" verticalDpi="300" copies="1"/>
  <headerFooter differentFirst="false" differentOddEven="false">
    <oddHeader>&amp;L_&amp;C&amp;14I</oddHeader>
    <oddFooter>&amp;LPMv3.16&amp;R&amp;P / &amp;N</oddFooter>
  </headerFooter>
  <colBreaks count="1" manualBreakCount="1">
    <brk id="15" man="true" max="65535" min="0"/>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G82"/>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pane xSplit="4" ySplit="13" topLeftCell="E14" activePane="bottomRight" state="frozen"/>
      <selection pane="topLeft" activeCell="A1" activeCellId="0" sqref="A1"/>
      <selection pane="topRight" activeCell="E1" activeCellId="0" sqref="E1"/>
      <selection pane="bottomLeft" activeCell="A14" activeCellId="0" sqref="A14"/>
      <selection pane="bottomRight" activeCell="A1" activeCellId="0" sqref="A1"/>
    </sheetView>
  </sheetViews>
  <sheetFormatPr defaultColWidth="8.6796875" defaultRowHeight="12.75" customHeight="false" zeroHeight="false" outlineLevelRow="0" outlineLevelCol="0"/>
  <cols>
    <col collapsed="false" customWidth="true" hidden="false" outlineLevel="0" max="1" min="1" style="0" width="3.57"/>
    <col collapsed="false" customWidth="true" hidden="false" outlineLevel="0" max="2" min="2" style="0" width="8.15"/>
    <col collapsed="false" customWidth="true" hidden="false" outlineLevel="0" max="3" min="3" style="0" width="17"/>
    <col collapsed="false" customWidth="true" hidden="false" outlineLevel="0" max="4" min="4" style="0" width="19.86"/>
    <col collapsed="false" customWidth="true" hidden="false" outlineLevel="0" max="5" min="5" style="0" width="0.86"/>
    <col collapsed="false" customWidth="true" hidden="true" outlineLevel="0" max="6" min="6" style="0" width="5.57"/>
    <col collapsed="false" customWidth="true" hidden="true" outlineLevel="0" max="7" min="7" style="0" width="9.14"/>
    <col collapsed="false" customWidth="true" hidden="false" outlineLevel="0" max="32" min="8" style="0" width="5.57"/>
    <col collapsed="false" customWidth="true" hidden="true" outlineLevel="0" max="33" min="33" style="0" width="8.57"/>
    <col collapsed="false" customWidth="true" hidden="false" outlineLevel="0" max="34" min="34" style="0" width="8.57"/>
  </cols>
  <sheetData>
    <row r="1" customFormat="false" ht="19.5" hidden="true" customHeight="true" outlineLevel="0" collapsed="false">
      <c r="A1" s="48" t="e">
        <f aca="false">IF(C1=0,"","F")</f>
        <v>#VALUE!</v>
      </c>
      <c r="B1" s="376" t="e">
        <f aca="true">OFFSET(B1,-1,0)+1</f>
        <v>#VALUE!</v>
      </c>
      <c r="C1" s="377" t="e">
        <f aca="true">IF(AUTOEVENTO="Manual",OFFSET(EVENTOS!$D$15,$B1-$B$15,0),IF(B1&lt;=MAX(CÁLCULO!$M$15:$M$59),VLOOKUP($B1,CÁLCULO!$M$15:$N$59,2,FALSE()),0))</f>
        <v>#VALUE!</v>
      </c>
      <c r="D1" s="377"/>
      <c r="F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row>
    <row r="2" customFormat="false" ht="16.5" hidden="true" customHeight="true" outlineLevel="0" collapsed="false">
      <c r="A2" s="48"/>
      <c r="B2" s="48"/>
      <c r="C2" s="63"/>
      <c r="D2" s="63"/>
      <c r="F2" s="586"/>
    </row>
    <row r="3" customFormat="false" ht="15" hidden="false" customHeight="false" outlineLevel="0" collapsed="false">
      <c r="H3" s="447" t="s">
        <v>981</v>
      </c>
      <c r="AD3" s="98" t="s">
        <v>704</v>
      </c>
      <c r="AE3" s="98"/>
      <c r="AF3" s="98"/>
    </row>
    <row r="4" customFormat="false" ht="15" hidden="false" customHeight="false" outlineLevel="0" collapsed="false">
      <c r="B4" s="156"/>
      <c r="C4" s="156"/>
      <c r="H4" s="158" t="str">
        <f aca="false">import.recurso</f>
        <v>OGU</v>
      </c>
      <c r="AD4" s="58" t="s">
        <v>707</v>
      </c>
      <c r="AE4" s="58"/>
      <c r="AF4" s="58"/>
    </row>
    <row r="6" customFormat="false" ht="12.75" hidden="false" customHeight="false" outlineLevel="0" collapsed="false">
      <c r="B6" s="269" t="s">
        <v>710</v>
      </c>
      <c r="C6" s="587"/>
      <c r="D6" s="451" t="s">
        <v>774</v>
      </c>
      <c r="E6" s="8"/>
      <c r="H6" s="452" t="s">
        <v>927</v>
      </c>
      <c r="I6" s="384"/>
      <c r="J6" s="384"/>
      <c r="K6" s="384"/>
      <c r="L6" s="423"/>
      <c r="M6" s="423"/>
      <c r="N6" s="588"/>
      <c r="O6" s="269" t="s">
        <v>872</v>
      </c>
      <c r="P6" s="383"/>
      <c r="R6" s="384"/>
      <c r="S6" s="384"/>
      <c r="T6" s="384"/>
      <c r="U6" s="450"/>
      <c r="V6" s="269" t="str">
        <f aca="false" t="array" ref="V6:V6">IF(TIPOORCAMENTO="Licitado","NOME DA EMPRESA","DESCRIÇÃO DO LOTE")</f>
        <v>DESCRIÇÃO DO LOTE</v>
      </c>
      <c r="W6" s="384"/>
      <c r="X6" s="384"/>
      <c r="Y6" s="384"/>
      <c r="AD6" s="8"/>
      <c r="AE6" s="453" t="str">
        <f aca="false" t="array" ref="AE6:AE6">IF(TIPOORCAMENTO="Licitado","Nº CTEF","")</f>
        <v/>
      </c>
      <c r="AF6" s="453"/>
    </row>
    <row r="7" customFormat="false" ht="12.75" hidden="false" customHeight="false" outlineLevel="0" collapsed="false">
      <c r="B7" s="274" t="n">
        <f aca="false">Import.CR</f>
        <v>0</v>
      </c>
      <c r="C7" s="274"/>
      <c r="D7" s="454" t="n">
        <f aca="false">Import.TransfereGOV</f>
        <v>0</v>
      </c>
      <c r="E7" s="2"/>
      <c r="H7" s="455" t="str">
        <f aca="false">Import.Proponente</f>
        <v>PREFEITURA MUNICIPAL DE TRAMANDAI</v>
      </c>
      <c r="I7" s="455"/>
      <c r="J7" s="455"/>
      <c r="K7" s="455"/>
      <c r="L7" s="455"/>
      <c r="M7" s="455"/>
      <c r="N7" s="455"/>
      <c r="O7" s="274" t="str">
        <f aca="false">Import.Apelido</f>
        <v>REVITALAIZAÇÃO DA ORLA DA BEIRA RIO</v>
      </c>
      <c r="P7" s="274"/>
      <c r="Q7" s="274"/>
      <c r="R7" s="274"/>
      <c r="S7" s="274"/>
      <c r="T7" s="274"/>
      <c r="U7" s="274"/>
      <c r="V7" s="274" t="n">
        <f aca="false">IF(TIPOORCAMENTO="Licitado",Import.empresa,Import.DescLote)</f>
        <v>0</v>
      </c>
      <c r="W7" s="274"/>
      <c r="X7" s="274"/>
      <c r="Y7" s="274"/>
      <c r="Z7" s="274"/>
      <c r="AA7" s="274"/>
      <c r="AB7" s="274"/>
      <c r="AC7" s="274"/>
      <c r="AD7" s="274"/>
      <c r="AE7" s="444" t="str">
        <f aca="false" t="array" ref="AE7:AE7">IF(TIPOORCAMENTO="Licitado",Import.CTEF,"")</f>
        <v/>
      </c>
      <c r="AF7" s="444"/>
      <c r="AG7" s="35"/>
    </row>
    <row r="9" customFormat="false" ht="15" hidden="false" customHeight="false" outlineLevel="0" collapsed="false">
      <c r="A9" s="348" t="n">
        <v>0</v>
      </c>
      <c r="B9" s="589"/>
      <c r="C9" s="589"/>
      <c r="I9" s="590" t="s">
        <v>982</v>
      </c>
      <c r="J9" s="591" t="n">
        <v>1</v>
      </c>
      <c r="K9" s="591"/>
      <c r="M9" s="590" t="s">
        <v>938</v>
      </c>
      <c r="N9" s="592" t="str">
        <f aca="true">TEXT(IF(PLE.Medicao=1,Import.DataInicioObra,OFFSET($H$68,0,1+(PLE.Medicao-$I$69)*2-2)+1),"dd/mm/aaaa")&amp;" a "&amp;TEXT(OFFSET($H$68,0,1+(PLE.Medicao-$I$69)*2),"dd/mm/aaaa")</f>
        <v>30/12/1899 a 30/12/1899</v>
      </c>
      <c r="O9" s="592"/>
      <c r="P9" s="592"/>
      <c r="Q9" s="592"/>
      <c r="R9" s="592"/>
      <c r="S9" s="592"/>
      <c r="T9" s="592"/>
      <c r="U9" s="593"/>
      <c r="X9" s="590" t="s">
        <v>983</v>
      </c>
      <c r="Y9" s="594" t="e">
        <f aca="true">OFFSET($I$69,1+8*(ROUNDUP(($J$9-0)/((COLUMN($AG$14)-COLUMN($G$14)-1)/25*12),0)-1),ROUNDDOWN((($J$9-0)-OFFSET($I$69,8*(ROUNDUP(($J$9-0)/((COLUMN($AG$14)-COLUMN($G$14)-1)/25*12),0)-1),0))*(2+1/12),0))</f>
        <v>#DIV/0!</v>
      </c>
      <c r="Z9" s="594"/>
      <c r="AD9" s="590" t="s">
        <v>984</v>
      </c>
      <c r="AE9" s="594" t="e">
        <f aca="true">OFFSET($I$69,3+8*(ROUNDUP(($J$9-0)/((COLUMN($AG$14)-COLUMN($G$14)-1)/25*12),0)-1),ROUNDDOWN((($J$9-0)-OFFSET($I$69,8*(ROUNDUP(($J$9-0)/((COLUMN($AG$14)-COLUMN($G$14)-1)/25*12),0)-1),0))*(2+1/12),0))</f>
        <v>#DIV/0!</v>
      </c>
      <c r="AF9" s="594"/>
    </row>
    <row r="11" customFormat="false" ht="65.25" hidden="false" customHeight="true" outlineLevel="0" collapsed="false">
      <c r="A11" s="595" t="s">
        <v>985</v>
      </c>
      <c r="C11" s="596" t="str">
        <f aca="false" t="array" ref="C11:C11">IF(TIPOORCAMENTO="proposto","ALTERE O TIPO DE ORÇAMENTO NA ABA 'MENU' PARA LICITADO.",
 IF(ACOMPANHAMENTO="BM","FOI SELECIONADO NA ABA 'MENU' O ACOMPANHAMENTO POR BM.",
 IF(AND(PLE.Medicao=1,DADOS!$C$47=0),"PREENCHER A DATA DE INÍCIO DA OBRA, NA ABA DADOS",
 IF($Y$9=0,"PREENCHER A MEDIÇÃO "&amp;PLE.Medicao,
 IF($H$68&lt;&gt;"",UPPER($H$68),
 IF($S$77&lt;&gt;"",UPPER($S$77),""))))))</f>
        <v>ALTERE O TIPO DE ORÇAMENTO NA ABA 'MENU' PARA LICITADO.</v>
      </c>
      <c r="D11" s="596"/>
      <c r="F11" s="389" t="n">
        <f aca="true">IF(F$12&gt;CÁLCULO.NúmeroDeFrentes,"",OFFSET(CÁLCULO!$P$12,0,F$12))</f>
        <v>0</v>
      </c>
      <c r="H11" s="389" t="n">
        <f aca="true">IF(H$12&gt;CÁLCULO.NúmeroDeFrentes,"",OFFSET(CÁLCULO!$P$12,0,H$12))</f>
        <v>0</v>
      </c>
      <c r="I11" s="389" t="n">
        <f aca="true">IF(I$12&gt;CÁLCULO.NúmeroDeFrentes,"",OFFSET(CÁLCULO!$P$12,0,I$12))</f>
        <v>0</v>
      </c>
      <c r="J11" s="389" t="n">
        <f aca="true">IF(J$12&gt;CÁLCULO.NúmeroDeFrentes,"",OFFSET(CÁLCULO!$P$12,0,J$12))</f>
        <v>0</v>
      </c>
      <c r="K11" s="389" t="n">
        <f aca="true">IF(K$12&gt;CÁLCULO.NúmeroDeFrentes,"",OFFSET(CÁLCULO!$P$12,0,K$12))</f>
        <v>0</v>
      </c>
      <c r="L11" s="389" t="n">
        <f aca="true">IF(L$12&gt;CÁLCULO.NúmeroDeFrentes,"",OFFSET(CÁLCULO!$P$12,0,L$12))</f>
        <v>0</v>
      </c>
      <c r="M11" s="389" t="n">
        <f aca="true">IF(M$12&gt;CÁLCULO.NúmeroDeFrentes,"",OFFSET(CÁLCULO!$P$12,0,M$12))</f>
        <v>0</v>
      </c>
      <c r="N11" s="389" t="n">
        <f aca="true">IF(N$12&gt;CÁLCULO.NúmeroDeFrentes,"",OFFSET(CÁLCULO!$P$12,0,N$12))</f>
        <v>0</v>
      </c>
      <c r="O11" s="389" t="n">
        <f aca="true">IF(O$12&gt;CÁLCULO.NúmeroDeFrentes,"",OFFSET(CÁLCULO!$P$12,0,O$12))</f>
        <v>0</v>
      </c>
      <c r="P11" s="389" t="n">
        <f aca="true">IF(P$12&gt;CÁLCULO.NúmeroDeFrentes,"",OFFSET(CÁLCULO!$P$12,0,P$12))</f>
        <v>0</v>
      </c>
      <c r="Q11" s="389" t="n">
        <f aca="true">IF(Q$12&gt;CÁLCULO.NúmeroDeFrentes,"",OFFSET(CÁLCULO!$P$12,0,Q$12))</f>
        <v>0</v>
      </c>
      <c r="R11" s="389" t="str">
        <f aca="true" t="array" ref="R11:R11">IF(R$12&gt;CÁLCULO.NúmeroDeFrentes,"",OFFSET(CÁLCULO!$P$12,0,R$12))</f>
        <v/>
      </c>
      <c r="S11" s="389" t="str">
        <f aca="true" t="array" ref="S11:S11">IF(S$12&gt;CÁLCULO.NúmeroDeFrentes,"",OFFSET(CÁLCULO!$P$12,0,S$12))</f>
        <v/>
      </c>
      <c r="T11" s="389" t="str">
        <f aca="true" t="array" ref="T11:T11">IF(T$12&gt;CÁLCULO.NúmeroDeFrentes,"",OFFSET(CÁLCULO!$P$12,0,T$12))</f>
        <v/>
      </c>
      <c r="U11" s="389" t="str">
        <f aca="true" t="array" ref="U11:U11">IF(U$12&gt;CÁLCULO.NúmeroDeFrentes,"",OFFSET(CÁLCULO!$P$12,0,U$12))</f>
        <v/>
      </c>
      <c r="V11" s="389" t="str">
        <f aca="true" t="array" ref="V11:V11">IF(V$12&gt;CÁLCULO.NúmeroDeFrentes,"",OFFSET(CÁLCULO!$P$12,0,V$12))</f>
        <v/>
      </c>
      <c r="W11" s="389" t="str">
        <f aca="true" t="array" ref="W11:W11">IF(W$12&gt;CÁLCULO.NúmeroDeFrentes,"",OFFSET(CÁLCULO!$P$12,0,W$12))</f>
        <v/>
      </c>
      <c r="X11" s="389" t="str">
        <f aca="true" t="array" ref="X11:X11">IF(X$12&gt;CÁLCULO.NúmeroDeFrentes,"",OFFSET(CÁLCULO!$P$12,0,X$12))</f>
        <v/>
      </c>
      <c r="Y11" s="389" t="str">
        <f aca="true" t="array" ref="Y11:Y11">IF(Y$12&gt;CÁLCULO.NúmeroDeFrentes,"",OFFSET(CÁLCULO!$P$12,0,Y$12))</f>
        <v/>
      </c>
      <c r="Z11" s="389" t="str">
        <f aca="true" t="array" ref="Z11:Z11">IF(Z$12&gt;CÁLCULO.NúmeroDeFrentes,"",OFFSET(CÁLCULO!$P$12,0,Z$12))</f>
        <v/>
      </c>
      <c r="AA11" s="389" t="str">
        <f aca="true" t="array" ref="AA11:AA11">IF(AA$12&gt;CÁLCULO.NúmeroDeFrentes,"",OFFSET(CÁLCULO!$P$12,0,AA$12))</f>
        <v/>
      </c>
      <c r="AB11" s="389" t="str">
        <f aca="true" t="array" ref="AB11:AB11">IF(AB$12&gt;CÁLCULO.NúmeroDeFrentes,"",OFFSET(CÁLCULO!$P$12,0,AB$12))</f>
        <v/>
      </c>
      <c r="AC11" s="389" t="str">
        <f aca="true" t="array" ref="AC11:AC11">IF(AC$12&gt;CÁLCULO.NúmeroDeFrentes,"",OFFSET(CÁLCULO!$P$12,0,AC$12))</f>
        <v/>
      </c>
      <c r="AD11" s="389" t="str">
        <f aca="true" t="array" ref="AD11:AD11">IF(AD$12&gt;CÁLCULO.NúmeroDeFrentes,"",OFFSET(CÁLCULO!$P$12,0,AD$12))</f>
        <v/>
      </c>
      <c r="AE11" s="389" t="str">
        <f aca="true" t="array" ref="AE11:AE11">IF(AE$12&gt;CÁLCULO.NúmeroDeFrentes,"",OFFSET(CÁLCULO!$P$12,0,AE$12))</f>
        <v/>
      </c>
      <c r="AF11" s="389" t="str">
        <f aca="true" t="array" ref="AF11:AF11">IF(AF$12&gt;CÁLCULO.NúmeroDeFrentes,"",OFFSET(CÁLCULO!$P$12,0,AF$12))</f>
        <v/>
      </c>
    </row>
    <row r="12" customFormat="false" ht="12.75" hidden="false" customHeight="true" outlineLevel="0" collapsed="false">
      <c r="A12" s="110" t="s">
        <v>720</v>
      </c>
      <c r="B12" s="390" t="s">
        <v>878</v>
      </c>
      <c r="C12" s="390" t="s">
        <v>917</v>
      </c>
      <c r="D12" s="390"/>
      <c r="F12" s="391" t="n">
        <f aca="true">OFFSET(F12,0,-1)+1</f>
        <v>1</v>
      </c>
      <c r="H12" s="391" t="n">
        <f aca="true">OFFSET(H12,0,-1)+1</f>
        <v>1</v>
      </c>
      <c r="I12" s="391" t="n">
        <f aca="true">OFFSET(I12,0,-1)+1</f>
        <v>2</v>
      </c>
      <c r="J12" s="391" t="n">
        <f aca="true">OFFSET(J12,0,-1)+1</f>
        <v>3</v>
      </c>
      <c r="K12" s="391" t="n">
        <f aca="true">OFFSET(K12,0,-1)+1</f>
        <v>4</v>
      </c>
      <c r="L12" s="391" t="n">
        <f aca="true">OFFSET(L12,0,-1)+1</f>
        <v>5</v>
      </c>
      <c r="M12" s="391" t="n">
        <f aca="true">OFFSET(M12,0,-1)+1</f>
        <v>6</v>
      </c>
      <c r="N12" s="391" t="n">
        <f aca="true">OFFSET(N12,0,-1)+1</f>
        <v>7</v>
      </c>
      <c r="O12" s="391" t="n">
        <f aca="true">OFFSET(O12,0,-1)+1</f>
        <v>8</v>
      </c>
      <c r="P12" s="391" t="n">
        <f aca="true">OFFSET(P12,0,-1)+1</f>
        <v>9</v>
      </c>
      <c r="Q12" s="391" t="n">
        <f aca="true">OFFSET(Q12,0,-1)+1</f>
        <v>10</v>
      </c>
      <c r="R12" s="391" t="n">
        <f aca="true">OFFSET(R12,0,-1)+1</f>
        <v>11</v>
      </c>
      <c r="S12" s="391" t="n">
        <f aca="true">OFFSET(S12,0,-1)+1</f>
        <v>12</v>
      </c>
      <c r="T12" s="391" t="n">
        <f aca="true">OFFSET(T12,0,-1)+1</f>
        <v>13</v>
      </c>
      <c r="U12" s="391" t="n">
        <f aca="true">OFFSET(U12,0,-1)+1</f>
        <v>14</v>
      </c>
      <c r="V12" s="391" t="n">
        <f aca="true">OFFSET(V12,0,-1)+1</f>
        <v>15</v>
      </c>
      <c r="W12" s="391" t="n">
        <f aca="true">OFFSET(W12,0,-1)+1</f>
        <v>16</v>
      </c>
      <c r="X12" s="391" t="n">
        <f aca="true">OFFSET(X12,0,-1)+1</f>
        <v>17</v>
      </c>
      <c r="Y12" s="391" t="n">
        <f aca="true">OFFSET(Y12,0,-1)+1</f>
        <v>18</v>
      </c>
      <c r="Z12" s="391" t="n">
        <f aca="true">OFFSET(Z12,0,-1)+1</f>
        <v>19</v>
      </c>
      <c r="AA12" s="391" t="n">
        <f aca="true">OFFSET(AA12,0,-1)+1</f>
        <v>20</v>
      </c>
      <c r="AB12" s="391" t="n">
        <f aca="true">OFFSET(AB12,0,-1)+1</f>
        <v>21</v>
      </c>
      <c r="AC12" s="391" t="n">
        <f aca="true">OFFSET(AC12,0,-1)+1</f>
        <v>22</v>
      </c>
      <c r="AD12" s="391" t="n">
        <f aca="true">OFFSET(AD12,0,-1)+1</f>
        <v>23</v>
      </c>
      <c r="AE12" s="391" t="n">
        <f aca="true">OFFSET(AE12,0,-1)+1</f>
        <v>24</v>
      </c>
      <c r="AF12" s="391" t="n">
        <f aca="true">OFFSET(AF12,0,-1)+1</f>
        <v>25</v>
      </c>
    </row>
    <row r="13" customFormat="false" ht="12.75" hidden="false" customHeight="false" outlineLevel="0" collapsed="false">
      <c r="A13" s="392"/>
      <c r="B13" s="390"/>
      <c r="C13" s="390"/>
      <c r="D13" s="390"/>
      <c r="F13" s="394"/>
      <c r="H13" s="394"/>
      <c r="I13" s="393"/>
      <c r="J13" s="393"/>
      <c r="K13" s="393"/>
      <c r="L13" s="393"/>
      <c r="M13" s="393"/>
      <c r="N13" s="393" t="s">
        <v>986</v>
      </c>
      <c r="O13" s="393"/>
      <c r="P13" s="393"/>
      <c r="Q13" s="393"/>
      <c r="R13" s="393"/>
      <c r="S13" s="393"/>
      <c r="T13" s="393"/>
      <c r="U13" s="393"/>
      <c r="V13" s="393"/>
      <c r="W13" s="393"/>
      <c r="X13" s="393"/>
      <c r="Y13" s="393"/>
      <c r="Z13" s="393"/>
      <c r="AA13" s="393"/>
      <c r="AB13" s="393"/>
      <c r="AC13" s="393"/>
      <c r="AD13" s="393"/>
      <c r="AE13" s="393"/>
      <c r="AF13" s="396"/>
    </row>
    <row r="14" customFormat="false" ht="3.75" hidden="false" customHeight="true" outlineLevel="0" collapsed="false">
      <c r="A14" s="48" t="s">
        <v>596</v>
      </c>
    </row>
    <row r="15" customFormat="false" ht="12.75" hidden="false" customHeight="false" outlineLevel="0" collapsed="false">
      <c r="A15" s="48" t="str">
        <f aca="false">IF(B15=0,"","F")</f>
        <v/>
      </c>
      <c r="B15" s="397" t="n">
        <f aca="false">EVENTOS!$C$15</f>
        <v>0</v>
      </c>
      <c r="C15" s="398" t="str">
        <f aca="false">EVENTOS!$D$15</f>
        <v/>
      </c>
      <c r="D15" s="398"/>
      <c r="F15" s="400"/>
      <c r="H15" s="400" t="str">
        <f aca="false">IF(AUTOEVENTO="MANUAL","A administração local será proporcional a execução dos demais eventos, independente de frentes de obra.","Para aplicação de Adm. Local é necessário definir os eventos manualmente.")</f>
        <v>Para aplicação de Adm. Local é necessário definir os eventos manualmente.</v>
      </c>
      <c r="I15" s="399"/>
      <c r="J15" s="399"/>
      <c r="K15" s="399"/>
      <c r="L15" s="399"/>
      <c r="M15" s="399"/>
      <c r="N15" s="399"/>
      <c r="O15" s="399"/>
      <c r="P15" s="399"/>
      <c r="Q15" s="399"/>
      <c r="R15" s="399"/>
      <c r="S15" s="399"/>
      <c r="T15" s="399"/>
      <c r="U15" s="399"/>
      <c r="V15" s="399"/>
      <c r="W15" s="399"/>
      <c r="X15" s="399"/>
      <c r="Y15" s="399"/>
      <c r="Z15" s="399"/>
      <c r="AA15" s="399"/>
      <c r="AB15" s="399"/>
      <c r="AC15" s="399"/>
      <c r="AD15" s="399"/>
      <c r="AE15" s="399"/>
      <c r="AF15" s="401"/>
    </row>
    <row r="16" customFormat="false" ht="19.5" hidden="false" customHeight="true" outlineLevel="0" collapsed="false">
      <c r="A16" s="48" t="str">
        <f aca="false">IF(C16=0,"","F")</f>
        <v>F</v>
      </c>
      <c r="B16" s="376" t="n">
        <f aca="true">OFFSET(B16,-1,0)+1</f>
        <v>1</v>
      </c>
      <c r="C16" s="377" t="str">
        <f aca="true">IF(AUTOEVENTO="Manual",OFFSET(EVENTOS!$D$15,$B16-$B$15,0),IF(B16&lt;=MAX(CÁLCULO!$M$15:$M$59),VLOOKUP($B16,CÁLCULO!$M$15:$N$59,2,FALSE()),0))</f>
        <v>ADMINISTRAÇÃO DA OBRA</v>
      </c>
      <c r="D16" s="377"/>
      <c r="F16" s="379"/>
      <c r="H16" s="379"/>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379"/>
    </row>
    <row r="17" customFormat="false" ht="19.5" hidden="false" customHeight="true" outlineLevel="0" collapsed="false">
      <c r="A17" s="48" t="str">
        <f aca="false">IF(C17=0,"","F")</f>
        <v>F</v>
      </c>
      <c r="B17" s="376" t="n">
        <f aca="true">OFFSET(B17,-1,0)+1</f>
        <v>2</v>
      </c>
      <c r="C17" s="377" t="str">
        <f aca="true">IF(AUTOEVENTO="Manual",OFFSET(EVENTOS!$D$15,$B17-$B$15,0),IF(B17&lt;=MAX(CÁLCULO!$M$15:$M$59),VLOOKUP($B17,CÁLCULO!$M$15:$N$59,2,FALSE()),0))</f>
        <v>MOBILIZAÇÃO E DESMOBILIZAÇÃO</v>
      </c>
      <c r="D17" s="377"/>
      <c r="F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row>
    <row r="18" customFormat="false" ht="19.5" hidden="false" customHeight="true" outlineLevel="0" collapsed="false">
      <c r="A18" s="48" t="str">
        <f aca="false">IF(C18=0,"","F")</f>
        <v>F</v>
      </c>
      <c r="B18" s="376" t="n">
        <f aca="true">OFFSET(B18,-1,0)+1</f>
        <v>3</v>
      </c>
      <c r="C18" s="377" t="str">
        <f aca="true">IF(AUTOEVENTO="Manual",OFFSET(EVENTOS!$D$15,$B18-$B$15,0),IF(B18&lt;=MAX(CÁLCULO!$M$15:$M$59),VLOOKUP($B18,CÁLCULO!$M$15:$N$59,2,FALSE()),0))</f>
        <v>SERVIÇOS PRELIMINARES</v>
      </c>
      <c r="D18" s="377"/>
      <c r="F18" s="379"/>
      <c r="H18" s="379"/>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row>
    <row r="19" customFormat="false" ht="19.5" hidden="false" customHeight="true" outlineLevel="0" collapsed="false">
      <c r="A19" s="48" t="str">
        <f aca="false">IF(C19=0,"","F")</f>
        <v>F</v>
      </c>
      <c r="B19" s="376" t="n">
        <f aca="true">OFFSET(B19,-1,0)+1</f>
        <v>4</v>
      </c>
      <c r="C19" s="377" t="str">
        <f aca="true">IF(AUTOEVENTO="Manual",OFFSET(EVENTOS!$D$15,$B19-$B$15,0),IF(B19&lt;=MAX(CÁLCULO!$M$15:$M$59),VLOOKUP($B19,CÁLCULO!$M$15:$N$59,2,FALSE()),0))</f>
        <v>REMOÇAO/DEMOLIÇÃO PASSEIO E MEIO FIO EXISTENTE</v>
      </c>
      <c r="D19" s="377"/>
      <c r="F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row>
    <row r="20" customFormat="false" ht="19.5" hidden="false" customHeight="true" outlineLevel="0" collapsed="false">
      <c r="A20" s="48" t="str">
        <f aca="false">IF(C20=0,"","F")</f>
        <v>F</v>
      </c>
      <c r="B20" s="376" t="n">
        <f aca="true">OFFSET(B20,-1,0)+1</f>
        <v>5</v>
      </c>
      <c r="C20" s="377" t="str">
        <f aca="true">IF(AUTOEVENTO="Manual",OFFSET(EVENTOS!$D$15,$B20-$B$15,0),IF(B20&lt;=MAX(CÁLCULO!$M$15:$M$59),VLOOKUP($B20,CÁLCULO!$M$15:$N$59,2,FALSE()),0))</f>
        <v>MOVIMENTAÇÃO DE TERRA</v>
      </c>
      <c r="D20" s="377"/>
      <c r="F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379"/>
    </row>
    <row r="21" customFormat="false" ht="19.5" hidden="false" customHeight="true" outlineLevel="0" collapsed="false">
      <c r="A21" s="48" t="str">
        <f aca="false">IF(C21=0,"","F")</f>
        <v>F</v>
      </c>
      <c r="B21" s="376" t="n">
        <f aca="true">OFFSET(B21,-1,0)+1</f>
        <v>6</v>
      </c>
      <c r="C21" s="377" t="str">
        <f aca="true">IF(AUTOEVENTO="Manual",OFFSET(EVENTOS!$D$15,$B21-$B$15,0),IF(B21&lt;=MAX(CÁLCULO!$M$15:$M$59),VLOOKUP($B21,CÁLCULO!$M$15:$N$59,2,FALSE()),0))</f>
        <v>PLATAFORMA</v>
      </c>
      <c r="D21" s="377"/>
      <c r="F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row>
    <row r="22" customFormat="false" ht="19.5" hidden="false" customHeight="true" outlineLevel="0" collapsed="false">
      <c r="A22" s="48" t="str">
        <f aca="false">IF(C22=0,"","F")</f>
        <v>F</v>
      </c>
      <c r="B22" s="376" t="n">
        <f aca="true">OFFSET(B22,-1,0)+1</f>
        <v>7</v>
      </c>
      <c r="C22" s="377" t="str">
        <f aca="true">IF(AUTOEVENTO="Manual",OFFSET(EVENTOS!$D$15,$B22-$B$15,0),IF(B22&lt;=MAX(CÁLCULO!$M$15:$M$59),VLOOKUP($B22,CÁLCULO!$M$15:$N$59,2,FALSE()),0))</f>
        <v>PAVIMENTAÇAO</v>
      </c>
      <c r="D22" s="377"/>
      <c r="F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row>
    <row r="23" customFormat="false" ht="19.5" hidden="false" customHeight="true" outlineLevel="0" collapsed="false">
      <c r="A23" s="48" t="str">
        <f aca="false">IF(C23=0,"","F")</f>
        <v>F</v>
      </c>
      <c r="B23" s="376" t="n">
        <f aca="true">OFFSET(B23,-1,0)+1</f>
        <v>8</v>
      </c>
      <c r="C23" s="377" t="str">
        <f aca="true">IF(AUTOEVENTO="Manual",OFFSET(EVENTOS!$D$15,$B23-$B$15,0),IF(B23&lt;=MAX(CÁLCULO!$M$15:$M$59),VLOOKUP($B23,CÁLCULO!$M$15:$N$59,2,FALSE()),0))</f>
        <v>EQUIPAMENTO</v>
      </c>
      <c r="D23" s="377"/>
      <c r="F23" s="379"/>
      <c r="H23" s="379"/>
      <c r="I23" s="379"/>
      <c r="J23" s="379"/>
      <c r="K23" s="379"/>
      <c r="L23" s="379"/>
      <c r="M23" s="379"/>
      <c r="N23" s="379"/>
      <c r="O23" s="379"/>
      <c r="P23" s="379"/>
      <c r="Q23" s="379"/>
      <c r="R23" s="379"/>
      <c r="S23" s="379"/>
      <c r="T23" s="379"/>
      <c r="U23" s="379"/>
      <c r="V23" s="379"/>
      <c r="W23" s="379"/>
      <c r="X23" s="379"/>
      <c r="Y23" s="379"/>
      <c r="Z23" s="379"/>
      <c r="AA23" s="379"/>
      <c r="AB23" s="379"/>
      <c r="AC23" s="379"/>
      <c r="AD23" s="379"/>
      <c r="AE23" s="379"/>
      <c r="AF23" s="379"/>
    </row>
    <row r="24" customFormat="false" ht="19.5" hidden="false" customHeight="true" outlineLevel="0" collapsed="false">
      <c r="A24" s="48" t="str">
        <f aca="false">IF(C24=0,"","F")</f>
        <v>F</v>
      </c>
      <c r="B24" s="376" t="n">
        <f aca="true">OFFSET(B24,-1,0)+1</f>
        <v>9</v>
      </c>
      <c r="C24" s="377" t="str">
        <f aca="true">IF(AUTOEVENTO="Manual",OFFSET(EVENTOS!$D$15,$B24-$B$15,0),IF(B24&lt;=MAX(CÁLCULO!$M$15:$M$59),VLOOKUP($B24,CÁLCULO!$M$15:$N$59,2,FALSE()),0))</f>
        <v>PINTURA</v>
      </c>
      <c r="D24" s="377"/>
      <c r="F24" s="379"/>
      <c r="H24" s="379"/>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row>
    <row r="25" customFormat="false" ht="19.5" hidden="false" customHeight="true" outlineLevel="0" collapsed="false">
      <c r="A25" s="48" t="str">
        <f aca="false">IF(C25=0,"","F")</f>
        <v>F</v>
      </c>
      <c r="B25" s="376" t="n">
        <f aca="true">OFFSET(B25,-1,0)+1</f>
        <v>10</v>
      </c>
      <c r="C25" s="377" t="str">
        <f aca="true">IF(AUTOEVENTO="Manual",OFFSET(EVENTOS!$D$15,$B25-$B$15,0),IF(B25&lt;=MAX(CÁLCULO!$M$15:$M$59),VLOOKUP($B25,CÁLCULO!$M$15:$N$59,2,FALSE()),0))</f>
        <v>PAISAGISMO</v>
      </c>
      <c r="D25" s="377"/>
      <c r="F25" s="379"/>
      <c r="H25" s="379"/>
      <c r="I25" s="379"/>
      <c r="J25" s="379"/>
      <c r="K25" s="379"/>
      <c r="L25" s="379"/>
      <c r="M25" s="379"/>
      <c r="N25" s="379"/>
      <c r="O25" s="379"/>
      <c r="P25" s="379"/>
      <c r="Q25" s="379"/>
      <c r="R25" s="379"/>
      <c r="S25" s="379"/>
      <c r="T25" s="379"/>
      <c r="U25" s="379"/>
      <c r="V25" s="379"/>
      <c r="W25" s="379"/>
      <c r="X25" s="379"/>
      <c r="Y25" s="379"/>
      <c r="Z25" s="379"/>
      <c r="AA25" s="379"/>
      <c r="AB25" s="379"/>
      <c r="AC25" s="379"/>
      <c r="AD25" s="379"/>
      <c r="AE25" s="379"/>
      <c r="AF25" s="379"/>
    </row>
    <row r="26" customFormat="false" ht="19.5" hidden="false" customHeight="true" outlineLevel="0" collapsed="false">
      <c r="A26" s="48" t="str">
        <f aca="false">IF(C26=0,"","F")</f>
        <v>F</v>
      </c>
      <c r="B26" s="376" t="n">
        <f aca="true">OFFSET(B26,-1,0)+1</f>
        <v>11</v>
      </c>
      <c r="C26" s="377" t="str">
        <f aca="true">IF(AUTOEVENTO="Manual",OFFSET(EVENTOS!$D$15,$B26-$B$15,0),IF(B26&lt;=MAX(CÁLCULO!$M$15:$M$59),VLOOKUP($B26,CÁLCULO!$M$15:$N$59,2,FALSE()),0))</f>
        <v>ILUMINAÇÃO</v>
      </c>
      <c r="D26" s="377"/>
      <c r="F26" s="379"/>
      <c r="H26" s="379"/>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row>
    <row r="27" customFormat="false" ht="19.5" hidden="false" customHeight="true" outlineLevel="0" collapsed="false">
      <c r="A27" s="48" t="str">
        <f aca="false">IF(C27=0,"","F")</f>
        <v/>
      </c>
      <c r="B27" s="376" t="n">
        <f aca="true">OFFSET(B27,-1,0)+1</f>
        <v>12</v>
      </c>
      <c r="C27" s="377" t="n">
        <f aca="true">IF(AUTOEVENTO="Manual",OFFSET(EVENTOS!$D$15,$B27-$B$15,0),IF(B27&lt;=MAX(CÁLCULO!$M$15:$M$59),VLOOKUP($B27,CÁLCULO!$M$15:$N$59,2,FALSE()),0))</f>
        <v>0</v>
      </c>
      <c r="D27" s="377"/>
      <c r="F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79"/>
    </row>
    <row r="28" customFormat="false" ht="19.5" hidden="false" customHeight="true" outlineLevel="0" collapsed="false">
      <c r="A28" s="48" t="str">
        <f aca="false">IF(C28=0,"","F")</f>
        <v/>
      </c>
      <c r="B28" s="376" t="n">
        <f aca="true">OFFSET(B28,-1,0)+1</f>
        <v>13</v>
      </c>
      <c r="C28" s="377" t="n">
        <f aca="true">IF(AUTOEVENTO="Manual",OFFSET(EVENTOS!$D$15,$B28-$B$15,0),IF(B28&lt;=MAX(CÁLCULO!$M$15:$M$59),VLOOKUP($B28,CÁLCULO!$M$15:$N$59,2,FALSE()),0))</f>
        <v>0</v>
      </c>
      <c r="D28" s="377"/>
      <c r="F28" s="379"/>
      <c r="H28" s="379"/>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row>
    <row r="29" customFormat="false" ht="19.5" hidden="false" customHeight="true" outlineLevel="0" collapsed="false">
      <c r="A29" s="48" t="str">
        <f aca="false">IF(C29=0,"","F")</f>
        <v/>
      </c>
      <c r="B29" s="376" t="n">
        <f aca="true">OFFSET(B29,-1,0)+1</f>
        <v>14</v>
      </c>
      <c r="C29" s="377" t="n">
        <f aca="true">IF(AUTOEVENTO="Manual",OFFSET(EVENTOS!$D$15,$B29-$B$15,0),IF(B29&lt;=MAX(CÁLCULO!$M$15:$M$59),VLOOKUP($B29,CÁLCULO!$M$15:$N$59,2,FALSE()),0))</f>
        <v>0</v>
      </c>
      <c r="D29" s="377"/>
      <c r="F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row>
    <row r="30" customFormat="false" ht="19.5" hidden="false" customHeight="true" outlineLevel="0" collapsed="false">
      <c r="A30" s="48" t="str">
        <f aca="false">IF(C30=0,"","F")</f>
        <v/>
      </c>
      <c r="B30" s="376" t="n">
        <f aca="true">OFFSET(B30,-1,0)+1</f>
        <v>15</v>
      </c>
      <c r="C30" s="377" t="n">
        <f aca="true">IF(AUTOEVENTO="Manual",OFFSET(EVENTOS!$D$15,$B30-$B$15,0),IF(B30&lt;=MAX(CÁLCULO!$M$15:$M$59),VLOOKUP($B30,CÁLCULO!$M$15:$N$59,2,FALSE()),0))</f>
        <v>0</v>
      </c>
      <c r="D30" s="377"/>
      <c r="F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row>
    <row r="31" customFormat="false" ht="19.5" hidden="false" customHeight="true" outlineLevel="0" collapsed="false">
      <c r="A31" s="48" t="str">
        <f aca="false">IF(C31=0,"","F")</f>
        <v/>
      </c>
      <c r="B31" s="376" t="n">
        <f aca="true">OFFSET(B31,-1,0)+1</f>
        <v>16</v>
      </c>
      <c r="C31" s="377" t="n">
        <f aca="true">IF(AUTOEVENTO="Manual",OFFSET(EVENTOS!$D$15,$B31-$B$15,0),IF(B31&lt;=MAX(CÁLCULO!$M$15:$M$59),VLOOKUP($B31,CÁLCULO!$M$15:$N$59,2,FALSE()),0))</f>
        <v>0</v>
      </c>
      <c r="D31" s="377"/>
      <c r="F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row>
    <row r="32" customFormat="false" ht="19.5" hidden="false" customHeight="true" outlineLevel="0" collapsed="false">
      <c r="A32" s="48" t="str">
        <f aca="false">IF(C32=0,"","F")</f>
        <v/>
      </c>
      <c r="B32" s="376" t="n">
        <f aca="true">OFFSET(B32,-1,0)+1</f>
        <v>17</v>
      </c>
      <c r="C32" s="377" t="n">
        <f aca="true">IF(AUTOEVENTO="Manual",OFFSET(EVENTOS!$D$15,$B32-$B$15,0),IF(B32&lt;=MAX(CÁLCULO!$M$15:$M$59),VLOOKUP($B32,CÁLCULO!$M$15:$N$59,2,FALSE()),0))</f>
        <v>0</v>
      </c>
      <c r="D32" s="377"/>
      <c r="F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row>
    <row r="33" customFormat="false" ht="19.5" hidden="false" customHeight="true" outlineLevel="0" collapsed="false">
      <c r="A33" s="48" t="str">
        <f aca="false">IF(C33=0,"","F")</f>
        <v/>
      </c>
      <c r="B33" s="376" t="n">
        <f aca="true">OFFSET(B33,-1,0)+1</f>
        <v>18</v>
      </c>
      <c r="C33" s="377" t="n">
        <f aca="true">IF(AUTOEVENTO="Manual",OFFSET(EVENTOS!$D$15,$B33-$B$15,0),IF(B33&lt;=MAX(CÁLCULO!$M$15:$M$59),VLOOKUP($B33,CÁLCULO!$M$15:$N$59,2,FALSE()),0))</f>
        <v>0</v>
      </c>
      <c r="D33" s="377"/>
      <c r="F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79"/>
    </row>
    <row r="34" customFormat="false" ht="19.5" hidden="false" customHeight="true" outlineLevel="0" collapsed="false">
      <c r="A34" s="48" t="str">
        <f aca="false">IF(C34=0,"","F")</f>
        <v/>
      </c>
      <c r="B34" s="376" t="n">
        <f aca="true">OFFSET(B34,-1,0)+1</f>
        <v>19</v>
      </c>
      <c r="C34" s="377" t="n">
        <f aca="true">IF(AUTOEVENTO="Manual",OFFSET(EVENTOS!$D$15,$B34-$B$15,0),IF(B34&lt;=MAX(CÁLCULO!$M$15:$M$59),VLOOKUP($B34,CÁLCULO!$M$15:$N$59,2,FALSE()),0))</f>
        <v>0</v>
      </c>
      <c r="D34" s="377"/>
      <c r="F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79"/>
      <c r="AF34" s="379"/>
    </row>
    <row r="35" customFormat="false" ht="19.5" hidden="false" customHeight="true" outlineLevel="0" collapsed="false">
      <c r="A35" s="48" t="str">
        <f aca="false">IF(C35=0,"","F")</f>
        <v/>
      </c>
      <c r="B35" s="376" t="n">
        <f aca="true">OFFSET(B35,-1,0)+1</f>
        <v>20</v>
      </c>
      <c r="C35" s="377" t="n">
        <f aca="true">IF(AUTOEVENTO="Manual",OFFSET(EVENTOS!$D$15,$B35-$B$15,0),IF(B35&lt;=MAX(CÁLCULO!$M$15:$M$59),VLOOKUP($B35,CÁLCULO!$M$15:$N$59,2,FALSE()),0))</f>
        <v>0</v>
      </c>
      <c r="D35" s="377"/>
      <c r="F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row>
    <row r="36" customFormat="false" ht="19.5" hidden="false" customHeight="true" outlineLevel="0" collapsed="false">
      <c r="A36" s="48" t="str">
        <f aca="false">IF(C36=0,"","F")</f>
        <v/>
      </c>
      <c r="B36" s="376" t="n">
        <f aca="true">OFFSET(B36,-1,0)+1</f>
        <v>21</v>
      </c>
      <c r="C36" s="377" t="n">
        <f aca="true">IF(AUTOEVENTO="Manual",OFFSET(EVENTOS!$D$15,$B36-$B$15,0),IF(B36&lt;=MAX(CÁLCULO!$M$15:$M$59),VLOOKUP($B36,CÁLCULO!$M$15:$N$59,2,FALSE()),0))</f>
        <v>0</v>
      </c>
      <c r="D36" s="377"/>
      <c r="F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row>
    <row r="37" customFormat="false" ht="19.5" hidden="false" customHeight="true" outlineLevel="0" collapsed="false">
      <c r="A37" s="48" t="str">
        <f aca="false">IF(C37=0,"","F")</f>
        <v/>
      </c>
      <c r="B37" s="376" t="n">
        <f aca="true">OFFSET(B37,-1,0)+1</f>
        <v>22</v>
      </c>
      <c r="C37" s="377" t="n">
        <f aca="true">IF(AUTOEVENTO="Manual",OFFSET(EVENTOS!$D$15,$B37-$B$15,0),IF(B37&lt;=MAX(CÁLCULO!$M$15:$M$59),VLOOKUP($B37,CÁLCULO!$M$15:$N$59,2,FALSE()),0))</f>
        <v>0</v>
      </c>
      <c r="D37" s="377"/>
      <c r="F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row>
    <row r="38" customFormat="false" ht="19.5" hidden="false" customHeight="true" outlineLevel="0" collapsed="false">
      <c r="A38" s="48" t="str">
        <f aca="false">IF(C38=0,"","F")</f>
        <v/>
      </c>
      <c r="B38" s="376" t="n">
        <f aca="true">OFFSET(B38,-1,0)+1</f>
        <v>23</v>
      </c>
      <c r="C38" s="377" t="n">
        <f aca="true">IF(AUTOEVENTO="Manual",OFFSET(EVENTOS!$D$15,$B38-$B$15,0),IF(B38&lt;=MAX(CÁLCULO!$M$15:$M$59),VLOOKUP($B38,CÁLCULO!$M$15:$N$59,2,FALSE()),0))</f>
        <v>0</v>
      </c>
      <c r="D38" s="377"/>
      <c r="F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row>
    <row r="39" customFormat="false" ht="19.5" hidden="false" customHeight="true" outlineLevel="0" collapsed="false">
      <c r="A39" s="48" t="str">
        <f aca="false">IF(C39=0,"","F")</f>
        <v/>
      </c>
      <c r="B39" s="376" t="n">
        <f aca="true">OFFSET(B39,-1,0)+1</f>
        <v>24</v>
      </c>
      <c r="C39" s="377" t="n">
        <f aca="true">IF(AUTOEVENTO="Manual",OFFSET(EVENTOS!$D$15,$B39-$B$15,0),IF(B39&lt;=MAX(CÁLCULO!$M$15:$M$59),VLOOKUP($B39,CÁLCULO!$M$15:$N$59,2,FALSE()),0))</f>
        <v>0</v>
      </c>
      <c r="D39" s="377"/>
      <c r="F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row>
    <row r="40" customFormat="false" ht="19.5" hidden="false" customHeight="true" outlineLevel="0" collapsed="false">
      <c r="A40" s="48" t="str">
        <f aca="false">IF(C40=0,"","F")</f>
        <v/>
      </c>
      <c r="B40" s="376" t="n">
        <f aca="true">OFFSET(B40,-1,0)+1</f>
        <v>25</v>
      </c>
      <c r="C40" s="377" t="n">
        <f aca="true">IF(AUTOEVENTO="Manual",OFFSET(EVENTOS!$D$15,$B40-$B$15,0),IF(B40&lt;=MAX(CÁLCULO!$M$15:$M$59),VLOOKUP($B40,CÁLCULO!$M$15:$N$59,2,FALSE()),0))</f>
        <v>0</v>
      </c>
      <c r="D40" s="377"/>
      <c r="F40" s="379"/>
      <c r="H40" s="379"/>
      <c r="I40" s="379"/>
      <c r="J40" s="379"/>
      <c r="K40" s="379"/>
      <c r="L40" s="379"/>
      <c r="M40" s="379"/>
      <c r="N40" s="379"/>
      <c r="O40" s="379"/>
      <c r="P40" s="379"/>
      <c r="Q40" s="379"/>
      <c r="R40" s="379"/>
      <c r="S40" s="379"/>
      <c r="T40" s="379"/>
      <c r="U40" s="379"/>
      <c r="V40" s="379"/>
      <c r="W40" s="379"/>
      <c r="X40" s="379"/>
      <c r="Y40" s="379"/>
      <c r="Z40" s="379"/>
      <c r="AA40" s="379"/>
      <c r="AB40" s="379"/>
      <c r="AC40" s="379"/>
      <c r="AD40" s="379"/>
      <c r="AE40" s="379"/>
      <c r="AF40" s="379"/>
    </row>
    <row r="41" customFormat="false" ht="19.5" hidden="false" customHeight="true" outlineLevel="0" collapsed="false">
      <c r="A41" s="48" t="str">
        <f aca="false">IF(C41=0,"","F")</f>
        <v/>
      </c>
      <c r="B41" s="376" t="n">
        <f aca="true">OFFSET(B41,-1,0)+1</f>
        <v>26</v>
      </c>
      <c r="C41" s="377" t="n">
        <f aca="true">IF(AUTOEVENTO="Manual",OFFSET(EVENTOS!$D$15,$B41-$B$15,0),IF(B41&lt;=MAX(CÁLCULO!$M$15:$M$59),VLOOKUP($B41,CÁLCULO!$M$15:$N$59,2,FALSE()),0))</f>
        <v>0</v>
      </c>
      <c r="D41" s="377"/>
      <c r="F41" s="379"/>
      <c r="H41" s="379"/>
      <c r="I41" s="379"/>
      <c r="J41" s="379"/>
      <c r="K41" s="379"/>
      <c r="L41" s="379"/>
      <c r="M41" s="379"/>
      <c r="N41" s="379"/>
      <c r="O41" s="379"/>
      <c r="P41" s="379"/>
      <c r="Q41" s="379"/>
      <c r="R41" s="379"/>
      <c r="S41" s="379"/>
      <c r="T41" s="379"/>
      <c r="U41" s="379"/>
      <c r="V41" s="379"/>
      <c r="W41" s="379"/>
      <c r="X41" s="379"/>
      <c r="Y41" s="379"/>
      <c r="Z41" s="379"/>
      <c r="AA41" s="379"/>
      <c r="AB41" s="379"/>
      <c r="AC41" s="379"/>
      <c r="AD41" s="379"/>
      <c r="AE41" s="379"/>
      <c r="AF41" s="379"/>
    </row>
    <row r="42" customFormat="false" ht="19.5" hidden="false" customHeight="true" outlineLevel="0" collapsed="false">
      <c r="A42" s="48" t="str">
        <f aca="false">IF(C42=0,"","F")</f>
        <v/>
      </c>
      <c r="B42" s="376" t="n">
        <f aca="true">OFFSET(B42,-1,0)+1</f>
        <v>27</v>
      </c>
      <c r="C42" s="377" t="n">
        <f aca="true">IF(AUTOEVENTO="Manual",OFFSET(EVENTOS!$D$15,$B42-$B$15,0),IF(B42&lt;=MAX(CÁLCULO!$M$15:$M$59),VLOOKUP($B42,CÁLCULO!$M$15:$N$59,2,FALSE()),0))</f>
        <v>0</v>
      </c>
      <c r="D42" s="377"/>
      <c r="F42" s="379"/>
      <c r="H42" s="379"/>
      <c r="I42" s="379"/>
      <c r="J42" s="379"/>
      <c r="K42" s="379"/>
      <c r="L42" s="379"/>
      <c r="M42" s="379"/>
      <c r="N42" s="379"/>
      <c r="O42" s="379"/>
      <c r="P42" s="379"/>
      <c r="Q42" s="379"/>
      <c r="R42" s="379"/>
      <c r="S42" s="379"/>
      <c r="T42" s="379"/>
      <c r="U42" s="379"/>
      <c r="V42" s="379"/>
      <c r="W42" s="379"/>
      <c r="X42" s="379"/>
      <c r="Y42" s="379"/>
      <c r="Z42" s="379"/>
      <c r="AA42" s="379"/>
      <c r="AB42" s="379"/>
      <c r="AC42" s="379"/>
      <c r="AD42" s="379"/>
      <c r="AE42" s="379"/>
      <c r="AF42" s="379"/>
    </row>
    <row r="43" customFormat="false" ht="19.5" hidden="false" customHeight="true" outlineLevel="0" collapsed="false">
      <c r="A43" s="48" t="str">
        <f aca="false">IF(C43=0,"","F")</f>
        <v/>
      </c>
      <c r="B43" s="376" t="n">
        <f aca="true">OFFSET(B43,-1,0)+1</f>
        <v>28</v>
      </c>
      <c r="C43" s="377" t="n">
        <f aca="true">IF(AUTOEVENTO="Manual",OFFSET(EVENTOS!$D$15,$B43-$B$15,0),IF(B43&lt;=MAX(CÁLCULO!$M$15:$M$59),VLOOKUP($B43,CÁLCULO!$M$15:$N$59,2,FALSE()),0))</f>
        <v>0</v>
      </c>
      <c r="D43" s="377"/>
      <c r="F43" s="379"/>
      <c r="H43" s="379"/>
      <c r="I43" s="379"/>
      <c r="J43" s="379"/>
      <c r="K43" s="379"/>
      <c r="L43" s="379"/>
      <c r="M43" s="379"/>
      <c r="N43" s="379"/>
      <c r="O43" s="379"/>
      <c r="P43" s="379"/>
      <c r="Q43" s="379"/>
      <c r="R43" s="379"/>
      <c r="S43" s="379"/>
      <c r="T43" s="379"/>
      <c r="U43" s="379"/>
      <c r="V43" s="379"/>
      <c r="W43" s="379"/>
      <c r="X43" s="379"/>
      <c r="Y43" s="379"/>
      <c r="Z43" s="379"/>
      <c r="AA43" s="379"/>
      <c r="AB43" s="379"/>
      <c r="AC43" s="379"/>
      <c r="AD43" s="379"/>
      <c r="AE43" s="379"/>
      <c r="AF43" s="379"/>
    </row>
    <row r="44" customFormat="false" ht="19.5" hidden="false" customHeight="true" outlineLevel="0" collapsed="false">
      <c r="A44" s="48" t="str">
        <f aca="false">IF(C44=0,"","F")</f>
        <v/>
      </c>
      <c r="B44" s="376" t="n">
        <f aca="true">OFFSET(B44,-1,0)+1</f>
        <v>29</v>
      </c>
      <c r="C44" s="377" t="n">
        <f aca="true">IF(AUTOEVENTO="Manual",OFFSET(EVENTOS!$D$15,$B44-$B$15,0),IF(B44&lt;=MAX(CÁLCULO!$M$15:$M$59),VLOOKUP($B44,CÁLCULO!$M$15:$N$59,2,FALSE()),0))</f>
        <v>0</v>
      </c>
      <c r="D44" s="377"/>
      <c r="F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row>
    <row r="45" customFormat="false" ht="19.5" hidden="false" customHeight="true" outlineLevel="0" collapsed="false">
      <c r="A45" s="48" t="str">
        <f aca="false">IF(C45=0,"","F")</f>
        <v/>
      </c>
      <c r="B45" s="376" t="n">
        <f aca="true">OFFSET(B45,-1,0)+1</f>
        <v>30</v>
      </c>
      <c r="C45" s="377" t="n">
        <f aca="true">IF(AUTOEVENTO="Manual",OFFSET(EVENTOS!$D$15,$B45-$B$15,0),IF(B45&lt;=MAX(CÁLCULO!$M$15:$M$59),VLOOKUP($B45,CÁLCULO!$M$15:$N$59,2,FALSE()),0))</f>
        <v>0</v>
      </c>
      <c r="D45" s="377"/>
      <c r="F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row>
    <row r="46" customFormat="false" ht="19.5" hidden="false" customHeight="true" outlineLevel="0" collapsed="false">
      <c r="A46" s="48" t="str">
        <f aca="false">IF(C46=0,"","F")</f>
        <v/>
      </c>
      <c r="B46" s="376" t="n">
        <f aca="true">OFFSET(B46,-1,0)+1</f>
        <v>31</v>
      </c>
      <c r="C46" s="377" t="n">
        <f aca="true">IF(AUTOEVENTO="Manual",OFFSET(EVENTOS!$D$15,$B46-$B$15,0),IF(B46&lt;=MAX(CÁLCULO!$M$15:$M$59),VLOOKUP($B46,CÁLCULO!$M$15:$N$59,2,FALSE()),0))</f>
        <v>0</v>
      </c>
      <c r="D46" s="377"/>
      <c r="F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row>
    <row r="47" customFormat="false" ht="19.5" hidden="false" customHeight="true" outlineLevel="0" collapsed="false">
      <c r="A47" s="48" t="str">
        <f aca="false">IF(C47=0,"","F")</f>
        <v/>
      </c>
      <c r="B47" s="376" t="n">
        <f aca="true">OFFSET(B47,-1,0)+1</f>
        <v>32</v>
      </c>
      <c r="C47" s="377" t="n">
        <f aca="true">IF(AUTOEVENTO="Manual",OFFSET(EVENTOS!$D$15,$B47-$B$15,0),IF(B47&lt;=MAX(CÁLCULO!$M$15:$M$59),VLOOKUP($B47,CÁLCULO!$M$15:$N$59,2,FALSE()),0))</f>
        <v>0</v>
      </c>
      <c r="D47" s="377"/>
      <c r="F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row>
    <row r="48" customFormat="false" ht="19.5" hidden="false" customHeight="true" outlineLevel="0" collapsed="false">
      <c r="A48" s="48" t="str">
        <f aca="false">IF(C48=0,"","F")</f>
        <v/>
      </c>
      <c r="B48" s="376" t="n">
        <f aca="true">OFFSET(B48,-1,0)+1</f>
        <v>33</v>
      </c>
      <c r="C48" s="377" t="n">
        <f aca="true">IF(AUTOEVENTO="Manual",OFFSET(EVENTOS!$D$15,$B48-$B$15,0),IF(B48&lt;=MAX(CÁLCULO!$M$15:$M$59),VLOOKUP($B48,CÁLCULO!$M$15:$N$59,2,FALSE()),0))</f>
        <v>0</v>
      </c>
      <c r="D48" s="377"/>
      <c r="F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row>
    <row r="49" customFormat="false" ht="19.5" hidden="false" customHeight="true" outlineLevel="0" collapsed="false">
      <c r="A49" s="48" t="str">
        <f aca="false">IF(C49=0,"","F")</f>
        <v/>
      </c>
      <c r="B49" s="376" t="n">
        <f aca="true">OFFSET(B49,-1,0)+1</f>
        <v>34</v>
      </c>
      <c r="C49" s="377" t="n">
        <f aca="true">IF(AUTOEVENTO="Manual",OFFSET(EVENTOS!$D$15,$B49-$B$15,0),IF(B49&lt;=MAX(CÁLCULO!$M$15:$M$59),VLOOKUP($B49,CÁLCULO!$M$15:$N$59,2,FALSE()),0))</f>
        <v>0</v>
      </c>
      <c r="D49" s="377"/>
      <c r="F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row>
    <row r="50" customFormat="false" ht="19.5" hidden="false" customHeight="true" outlineLevel="0" collapsed="false">
      <c r="A50" s="48" t="str">
        <f aca="false">IF(C50=0,"","F")</f>
        <v/>
      </c>
      <c r="B50" s="376" t="n">
        <f aca="true">OFFSET(B50,-1,0)+1</f>
        <v>35</v>
      </c>
      <c r="C50" s="377" t="n">
        <f aca="true">IF(AUTOEVENTO="Manual",OFFSET(EVENTOS!$D$15,$B50-$B$15,0),IF(B50&lt;=MAX(CÁLCULO!$M$15:$M$59),VLOOKUP($B50,CÁLCULO!$M$15:$N$59,2,FALSE()),0))</f>
        <v>0</v>
      </c>
      <c r="D50" s="377"/>
      <c r="F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row>
    <row r="51" customFormat="false" ht="19.5" hidden="false" customHeight="true" outlineLevel="0" collapsed="false">
      <c r="A51" s="48" t="str">
        <f aca="false">IF(C51=0,"","F")</f>
        <v/>
      </c>
      <c r="B51" s="376" t="n">
        <f aca="true">OFFSET(B51,-1,0)+1</f>
        <v>36</v>
      </c>
      <c r="C51" s="377" t="n">
        <f aca="true">IF(AUTOEVENTO="Manual",OFFSET(EVENTOS!$D$15,$B51-$B$15,0),IF(B51&lt;=MAX(CÁLCULO!$M$15:$M$59),VLOOKUP($B51,CÁLCULO!$M$15:$N$59,2,FALSE()),0))</f>
        <v>0</v>
      </c>
      <c r="D51" s="377"/>
      <c r="F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row>
    <row r="52" customFormat="false" ht="19.5" hidden="false" customHeight="true" outlineLevel="0" collapsed="false">
      <c r="A52" s="48" t="str">
        <f aca="false">IF(C52=0,"","F")</f>
        <v/>
      </c>
      <c r="B52" s="376" t="n">
        <f aca="true">OFFSET(B52,-1,0)+1</f>
        <v>37</v>
      </c>
      <c r="C52" s="377" t="n">
        <f aca="true">IF(AUTOEVENTO="Manual",OFFSET(EVENTOS!$D$15,$B52-$B$15,0),IF(B52&lt;=MAX(CÁLCULO!$M$15:$M$59),VLOOKUP($B52,CÁLCULO!$M$15:$N$59,2,FALSE()),0))</f>
        <v>0</v>
      </c>
      <c r="D52" s="377"/>
      <c r="F52" s="379"/>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79"/>
      <c r="AF52" s="379"/>
    </row>
    <row r="53" customFormat="false" ht="19.5" hidden="false" customHeight="true" outlineLevel="0" collapsed="false">
      <c r="A53" s="48" t="str">
        <f aca="false">IF(C53=0,"","F")</f>
        <v/>
      </c>
      <c r="B53" s="376" t="n">
        <f aca="true">OFFSET(B53,-1,0)+1</f>
        <v>38</v>
      </c>
      <c r="C53" s="377" t="n">
        <f aca="true">IF(AUTOEVENTO="Manual",OFFSET(EVENTOS!$D$15,$B53-$B$15,0),IF(B53&lt;=MAX(CÁLCULO!$M$15:$M$59),VLOOKUP($B53,CÁLCULO!$M$15:$N$59,2,FALSE()),0))</f>
        <v>0</v>
      </c>
      <c r="D53" s="377"/>
      <c r="F53" s="379"/>
      <c r="H53" s="379"/>
      <c r="I53" s="379"/>
      <c r="J53" s="379"/>
      <c r="K53" s="379"/>
      <c r="L53" s="379"/>
      <c r="M53" s="379"/>
      <c r="N53" s="379"/>
      <c r="O53" s="379"/>
      <c r="P53" s="379"/>
      <c r="Q53" s="379"/>
      <c r="R53" s="379"/>
      <c r="S53" s="379"/>
      <c r="T53" s="379"/>
      <c r="U53" s="379"/>
      <c r="V53" s="379"/>
      <c r="W53" s="379"/>
      <c r="X53" s="379"/>
      <c r="Y53" s="379"/>
      <c r="Z53" s="379"/>
      <c r="AA53" s="379"/>
      <c r="AB53" s="379"/>
      <c r="AC53" s="379"/>
      <c r="AD53" s="379"/>
      <c r="AE53" s="379"/>
      <c r="AF53" s="379"/>
    </row>
    <row r="54" customFormat="false" ht="19.5" hidden="false" customHeight="true" outlineLevel="0" collapsed="false">
      <c r="A54" s="48" t="str">
        <f aca="false">IF(C54=0,"","F")</f>
        <v/>
      </c>
      <c r="B54" s="376" t="n">
        <f aca="true">OFFSET(B54,-1,0)+1</f>
        <v>39</v>
      </c>
      <c r="C54" s="377" t="n">
        <f aca="true">IF(AUTOEVENTO="Manual",OFFSET(EVENTOS!$D$15,$B54-$B$15,0),IF(B54&lt;=MAX(CÁLCULO!$M$15:$M$59),VLOOKUP($B54,CÁLCULO!$M$15:$N$59,2,FALSE()),0))</f>
        <v>0</v>
      </c>
      <c r="D54" s="377"/>
      <c r="F54" s="379"/>
      <c r="H54" s="379"/>
      <c r="I54" s="379"/>
      <c r="J54" s="379"/>
      <c r="K54" s="379"/>
      <c r="L54" s="379"/>
      <c r="M54" s="379"/>
      <c r="N54" s="379"/>
      <c r="O54" s="379"/>
      <c r="P54" s="379"/>
      <c r="Q54" s="379"/>
      <c r="R54" s="379"/>
      <c r="S54" s="379"/>
      <c r="T54" s="379"/>
      <c r="U54" s="379"/>
      <c r="V54" s="379"/>
      <c r="W54" s="379"/>
      <c r="X54" s="379"/>
      <c r="Y54" s="379"/>
      <c r="Z54" s="379"/>
      <c r="AA54" s="379"/>
      <c r="AB54" s="379"/>
      <c r="AC54" s="379"/>
      <c r="AD54" s="379"/>
      <c r="AE54" s="379"/>
      <c r="AF54" s="379"/>
    </row>
    <row r="55" customFormat="false" ht="19.5" hidden="false" customHeight="true" outlineLevel="0" collapsed="false">
      <c r="A55" s="48" t="str">
        <f aca="false">IF(C55=0,"","F")</f>
        <v/>
      </c>
      <c r="B55" s="376" t="n">
        <f aca="true">OFFSET(B55,-1,0)+1</f>
        <v>40</v>
      </c>
      <c r="C55" s="377" t="n">
        <f aca="true">IF(AUTOEVENTO="Manual",OFFSET(EVENTOS!$D$15,$B55-$B$15,0),IF(B55&lt;=MAX(CÁLCULO!$M$15:$M$59),VLOOKUP($B55,CÁLCULO!$M$15:$N$59,2,FALSE()),0))</f>
        <v>0</v>
      </c>
      <c r="D55" s="377"/>
      <c r="F55" s="379"/>
      <c r="H55" s="379"/>
      <c r="I55" s="379"/>
      <c r="J55" s="379"/>
      <c r="K55" s="379"/>
      <c r="L55" s="379"/>
      <c r="M55" s="379"/>
      <c r="N55" s="379"/>
      <c r="O55" s="379"/>
      <c r="P55" s="379"/>
      <c r="Q55" s="379"/>
      <c r="R55" s="379"/>
      <c r="S55" s="379"/>
      <c r="T55" s="379"/>
      <c r="U55" s="379"/>
      <c r="V55" s="379"/>
      <c r="W55" s="379"/>
      <c r="X55" s="379"/>
      <c r="Y55" s="379"/>
      <c r="Z55" s="379"/>
      <c r="AA55" s="379"/>
      <c r="AB55" s="379"/>
      <c r="AC55" s="379"/>
      <c r="AD55" s="379"/>
      <c r="AE55" s="379"/>
      <c r="AF55" s="379"/>
    </row>
    <row r="56" customFormat="false" ht="19.5" hidden="false" customHeight="true" outlineLevel="0" collapsed="false">
      <c r="A56" s="48" t="str">
        <f aca="false">IF(C56=0,"","F")</f>
        <v/>
      </c>
      <c r="B56" s="376" t="n">
        <f aca="true">OFFSET(B56,-1,0)+1</f>
        <v>41</v>
      </c>
      <c r="C56" s="377" t="n">
        <f aca="true">IF(AUTOEVENTO="Manual",OFFSET(EVENTOS!$D$15,$B56-$B$15,0),IF(B56&lt;=MAX(CÁLCULO!$M$15:$M$59),VLOOKUP($B56,CÁLCULO!$M$15:$N$59,2,FALSE()),0))</f>
        <v>0</v>
      </c>
      <c r="D56" s="377"/>
      <c r="F56" s="379"/>
      <c r="H56" s="379"/>
      <c r="I56" s="379"/>
      <c r="J56" s="379"/>
      <c r="K56" s="379"/>
      <c r="L56" s="379"/>
      <c r="M56" s="379"/>
      <c r="N56" s="379"/>
      <c r="O56" s="379"/>
      <c r="P56" s="379"/>
      <c r="Q56" s="379"/>
      <c r="R56" s="379"/>
      <c r="S56" s="379"/>
      <c r="T56" s="379"/>
      <c r="U56" s="379"/>
      <c r="V56" s="379"/>
      <c r="W56" s="379"/>
      <c r="X56" s="379"/>
      <c r="Y56" s="379"/>
      <c r="Z56" s="379"/>
      <c r="AA56" s="379"/>
      <c r="AB56" s="379"/>
      <c r="AC56" s="379"/>
      <c r="AD56" s="379"/>
      <c r="AE56" s="379"/>
      <c r="AF56" s="379"/>
    </row>
    <row r="57" customFormat="false" ht="19.5" hidden="false" customHeight="true" outlineLevel="0" collapsed="false">
      <c r="A57" s="48" t="str">
        <f aca="false">IF(C57=0,"","F")</f>
        <v/>
      </c>
      <c r="B57" s="376" t="n">
        <f aca="true">OFFSET(B57,-1,0)+1</f>
        <v>42</v>
      </c>
      <c r="C57" s="377" t="n">
        <f aca="true">IF(AUTOEVENTO="Manual",OFFSET(EVENTOS!$D$15,$B57-$B$15,0),IF(B57&lt;=MAX(CÁLCULO!$M$15:$M$59),VLOOKUP($B57,CÁLCULO!$M$15:$N$59,2,FALSE()),0))</f>
        <v>0</v>
      </c>
      <c r="D57" s="377"/>
      <c r="F57" s="379"/>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row>
    <row r="58" customFormat="false" ht="19.5" hidden="false" customHeight="true" outlineLevel="0" collapsed="false">
      <c r="A58" s="48" t="str">
        <f aca="false">IF(C58=0,"","F")</f>
        <v/>
      </c>
      <c r="B58" s="376" t="n">
        <f aca="true">OFFSET(B58,-1,0)+1</f>
        <v>43</v>
      </c>
      <c r="C58" s="377" t="n">
        <f aca="true">IF(AUTOEVENTO="Manual",OFFSET(EVENTOS!$D$15,$B58-$B$15,0),IF(B58&lt;=MAX(CÁLCULO!$M$15:$M$59),VLOOKUP($B58,CÁLCULO!$M$15:$N$59,2,FALSE()),0))</f>
        <v>0</v>
      </c>
      <c r="D58" s="377"/>
      <c r="F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row>
    <row r="59" customFormat="false" ht="19.5" hidden="false" customHeight="true" outlineLevel="0" collapsed="false">
      <c r="A59" s="48" t="str">
        <f aca="false">IF(C59=0,"","F")</f>
        <v/>
      </c>
      <c r="B59" s="376" t="n">
        <f aca="true">OFFSET(B59,-1,0)+1</f>
        <v>44</v>
      </c>
      <c r="C59" s="377" t="n">
        <f aca="true">IF(AUTOEVENTO="Manual",OFFSET(EVENTOS!$D$15,$B59-$B$15,0),IF(B59&lt;=MAX(CÁLCULO!$M$15:$M$59),VLOOKUP($B59,CÁLCULO!$M$15:$N$59,2,FALSE()),0))</f>
        <v>0</v>
      </c>
      <c r="D59" s="377"/>
      <c r="F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row>
    <row r="60" customFormat="false" ht="19.5" hidden="false" customHeight="true" outlineLevel="0" collapsed="false">
      <c r="A60" s="48" t="str">
        <f aca="false">IF(C60=0,"","F")</f>
        <v/>
      </c>
      <c r="B60" s="376" t="n">
        <f aca="true">OFFSET(B60,-1,0)+1</f>
        <v>45</v>
      </c>
      <c r="C60" s="377" t="n">
        <f aca="true">IF(AUTOEVENTO="Manual",OFFSET(EVENTOS!$D$15,$B60-$B$15,0),IF(B60&lt;=MAX(CÁLCULO!$M$15:$M$59),VLOOKUP($B60,CÁLCULO!$M$15:$N$59,2,FALSE()),0))</f>
        <v>0</v>
      </c>
      <c r="D60" s="377"/>
      <c r="F60" s="379"/>
      <c r="H60" s="379"/>
      <c r="I60" s="379"/>
      <c r="J60" s="379"/>
      <c r="K60" s="379"/>
      <c r="L60" s="379"/>
      <c r="M60" s="379"/>
      <c r="N60" s="379"/>
      <c r="O60" s="379"/>
      <c r="P60" s="379"/>
      <c r="Q60" s="379"/>
      <c r="R60" s="379"/>
      <c r="S60" s="379"/>
      <c r="T60" s="379"/>
      <c r="U60" s="379"/>
      <c r="V60" s="379"/>
      <c r="W60" s="379"/>
      <c r="X60" s="379"/>
      <c r="Y60" s="379"/>
      <c r="Z60" s="379"/>
      <c r="AA60" s="379"/>
      <c r="AB60" s="379"/>
      <c r="AC60" s="379"/>
      <c r="AD60" s="379"/>
      <c r="AE60" s="379"/>
      <c r="AF60" s="379"/>
    </row>
    <row r="61" customFormat="false" ht="19.5" hidden="false" customHeight="true" outlineLevel="0" collapsed="false">
      <c r="A61" s="48" t="str">
        <f aca="false">IF(C61=0,"","F")</f>
        <v/>
      </c>
      <c r="B61" s="376" t="n">
        <f aca="true">OFFSET(B61,-1,0)+1</f>
        <v>46</v>
      </c>
      <c r="C61" s="377" t="n">
        <f aca="true">IF(AUTOEVENTO="Manual",OFFSET(EVENTOS!$D$15,$B61-$B$15,0),IF(B61&lt;=MAX(CÁLCULO!$M$15:$M$59),VLOOKUP($B61,CÁLCULO!$M$15:$N$59,2,FALSE()),0))</f>
        <v>0</v>
      </c>
      <c r="D61" s="377"/>
      <c r="F61" s="379"/>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row>
    <row r="62" customFormat="false" ht="19.5" hidden="false" customHeight="true" outlineLevel="0" collapsed="false">
      <c r="A62" s="48" t="str">
        <f aca="false">IF(C62=0,"","F")</f>
        <v/>
      </c>
      <c r="B62" s="376" t="n">
        <f aca="true">OFFSET(B62,-1,0)+1</f>
        <v>47</v>
      </c>
      <c r="C62" s="377" t="n">
        <f aca="true">IF(AUTOEVENTO="Manual",OFFSET(EVENTOS!$D$15,$B62-$B$15,0),IF(B62&lt;=MAX(CÁLCULO!$M$15:$M$59),VLOOKUP($B62,CÁLCULO!$M$15:$N$59,2,FALSE()),0))</f>
        <v>0</v>
      </c>
      <c r="D62" s="377"/>
      <c r="F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row>
    <row r="63" customFormat="false" ht="19.5" hidden="false" customHeight="true" outlineLevel="0" collapsed="false">
      <c r="A63" s="48" t="str">
        <f aca="false">IF(C63=0,"","F")</f>
        <v/>
      </c>
      <c r="B63" s="376" t="n">
        <f aca="true">OFFSET(B63,-1,0)+1</f>
        <v>48</v>
      </c>
      <c r="C63" s="377" t="n">
        <f aca="true">IF(AUTOEVENTO="Manual",OFFSET(EVENTOS!$D$15,$B63-$B$15,0),IF(B63&lt;=MAX(CÁLCULO!$M$15:$M$59),VLOOKUP($B63,CÁLCULO!$M$15:$N$59,2,FALSE()),0))</f>
        <v>0</v>
      </c>
      <c r="D63" s="377"/>
      <c r="F63" s="379"/>
      <c r="H63" s="379"/>
      <c r="I63" s="379"/>
      <c r="J63" s="379"/>
      <c r="K63" s="379"/>
      <c r="L63" s="379"/>
      <c r="M63" s="379"/>
      <c r="N63" s="379"/>
      <c r="O63" s="379"/>
      <c r="P63" s="379"/>
      <c r="Q63" s="379"/>
      <c r="R63" s="379"/>
      <c r="S63" s="379"/>
      <c r="T63" s="379"/>
      <c r="U63" s="379"/>
      <c r="V63" s="379"/>
      <c r="W63" s="379"/>
      <c r="X63" s="379"/>
      <c r="Y63" s="379"/>
      <c r="Z63" s="379"/>
      <c r="AA63" s="379"/>
      <c r="AB63" s="379"/>
      <c r="AC63" s="379"/>
      <c r="AD63" s="379"/>
      <c r="AE63" s="379"/>
      <c r="AF63" s="379"/>
    </row>
    <row r="64" customFormat="false" ht="19.5" hidden="false" customHeight="true" outlineLevel="0" collapsed="false">
      <c r="A64" s="48" t="str">
        <f aca="false">IF(C64=0,"","F")</f>
        <v/>
      </c>
      <c r="B64" s="376" t="n">
        <f aca="true">OFFSET(B64,-1,0)+1</f>
        <v>49</v>
      </c>
      <c r="C64" s="377" t="n">
        <f aca="true">IF(AUTOEVENTO="Manual",OFFSET(EVENTOS!$D$15,$B64-$B$15,0),IF(B64&lt;=MAX(CÁLCULO!$M$15:$M$59),VLOOKUP($B64,CÁLCULO!$M$15:$N$59,2,FALSE()),0))</f>
        <v>0</v>
      </c>
      <c r="D64" s="377"/>
      <c r="F64" s="379"/>
      <c r="H64" s="379"/>
      <c r="I64" s="379"/>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row>
    <row r="65" customFormat="false" ht="4.5" hidden="false" customHeight="true" outlineLevel="0" collapsed="false">
      <c r="A65" s="48" t="s">
        <v>596</v>
      </c>
      <c r="B65" s="245"/>
      <c r="C65" s="248"/>
      <c r="D65" s="246"/>
      <c r="F65" s="372"/>
      <c r="H65" s="245"/>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6"/>
    </row>
    <row r="66" customFormat="false" ht="12.75" hidden="false" customHeight="false" outlineLevel="0" collapsed="false">
      <c r="A66" s="48" t="s">
        <v>596</v>
      </c>
    </row>
    <row r="67" customFormat="false" ht="12.75" hidden="false" customHeight="false" outlineLevel="0" collapsed="false">
      <c r="A67" s="48" t="s">
        <v>596</v>
      </c>
      <c r="I67" s="597" t="s">
        <v>987</v>
      </c>
      <c r="J67" s="597"/>
      <c r="K67" s="597"/>
      <c r="L67" s="597"/>
      <c r="M67" s="597"/>
      <c r="N67" s="597"/>
      <c r="O67" s="597"/>
      <c r="P67" s="597"/>
      <c r="Q67" s="597"/>
      <c r="R67" s="597"/>
      <c r="S67" s="597"/>
      <c r="T67" s="597"/>
      <c r="U67" s="597"/>
      <c r="V67" s="597"/>
      <c r="W67" s="597"/>
      <c r="X67" s="597"/>
      <c r="Y67" s="597"/>
      <c r="Z67" s="597"/>
      <c r="AA67" s="597"/>
      <c r="AB67" s="597"/>
      <c r="AC67" s="597"/>
      <c r="AD67" s="597"/>
      <c r="AE67" s="597"/>
      <c r="AF67" s="597"/>
    </row>
    <row r="68" customFormat="false" ht="12.75" hidden="false" customHeight="false" outlineLevel="0" collapsed="false">
      <c r="A68" s="48" t="s">
        <v>596</v>
      </c>
      <c r="H68" s="420" t="str">
        <f aca="false">IF(INDEX($I$68:$AG$68,MATCH(PLE.Medicao,$I$69:$AG$69,0))="","Preencher a data da medição "&amp;PLE.Medicao,"")</f>
        <v>Preencher a data da medição 1</v>
      </c>
      <c r="I68" s="598"/>
      <c r="J68" s="598"/>
      <c r="K68" s="599"/>
      <c r="L68" s="599"/>
      <c r="M68" s="599"/>
      <c r="N68" s="599"/>
      <c r="O68" s="599"/>
      <c r="P68" s="599"/>
      <c r="Q68" s="599"/>
      <c r="R68" s="599"/>
      <c r="S68" s="599"/>
      <c r="T68" s="599"/>
      <c r="U68" s="599"/>
      <c r="V68" s="599"/>
      <c r="W68" s="599"/>
      <c r="X68" s="599"/>
      <c r="Y68" s="599"/>
      <c r="Z68" s="599"/>
      <c r="AA68" s="599"/>
      <c r="AB68" s="599"/>
      <c r="AC68" s="599"/>
      <c r="AD68" s="599"/>
      <c r="AE68" s="600"/>
      <c r="AF68" s="600"/>
    </row>
    <row r="69" customFormat="false" ht="12.75" hidden="false" customHeight="false" outlineLevel="0" collapsed="false">
      <c r="A69" s="48" t="s">
        <v>596</v>
      </c>
      <c r="D69" s="597" t="s">
        <v>988</v>
      </c>
      <c r="I69" s="601" t="n">
        <f aca="false">IF(PLE.Medicao&lt;=12,1,TRUNC((PLE.Medicao - 2)/11,0) * 11 + 1)</f>
        <v>1</v>
      </c>
      <c r="J69" s="601"/>
      <c r="K69" s="601" t="n">
        <f aca="false">I69+1</f>
        <v>2</v>
      </c>
      <c r="L69" s="601"/>
      <c r="M69" s="601" t="n">
        <f aca="false">K69+1</f>
        <v>3</v>
      </c>
      <c r="N69" s="601"/>
      <c r="O69" s="601" t="n">
        <f aca="false">M69+1</f>
        <v>4</v>
      </c>
      <c r="P69" s="601"/>
      <c r="Q69" s="601" t="n">
        <f aca="false">O69+1</f>
        <v>5</v>
      </c>
      <c r="R69" s="601"/>
      <c r="S69" s="601" t="n">
        <f aca="false">Q69+1</f>
        <v>6</v>
      </c>
      <c r="T69" s="601"/>
      <c r="U69" s="601" t="n">
        <f aca="false">S69+1</f>
        <v>7</v>
      </c>
      <c r="V69" s="601"/>
      <c r="W69" s="601" t="n">
        <f aca="false">U69+1</f>
        <v>8</v>
      </c>
      <c r="X69" s="601"/>
      <c r="Y69" s="601" t="n">
        <f aca="false">W69+1</f>
        <v>9</v>
      </c>
      <c r="Z69" s="601"/>
      <c r="AA69" s="601" t="n">
        <f aca="false">Y69+1</f>
        <v>10</v>
      </c>
      <c r="AB69" s="601"/>
      <c r="AC69" s="601" t="n">
        <f aca="false">AA69+1</f>
        <v>11</v>
      </c>
      <c r="AD69" s="601"/>
      <c r="AE69" s="601" t="n">
        <f aca="false">AC69+1</f>
        <v>12</v>
      </c>
      <c r="AF69" s="601"/>
    </row>
    <row r="70" customFormat="false" ht="12.75" hidden="false" customHeight="false" outlineLevel="0" collapsed="false">
      <c r="A70" s="48" t="s">
        <v>596</v>
      </c>
      <c r="D70" s="602" t="s">
        <v>938</v>
      </c>
      <c r="H70" s="317" t="s">
        <v>920</v>
      </c>
      <c r="I70" s="603" t="e">
        <f aca="false">ROUND(I71,2)/ORÇAMENTO!$X$15</f>
        <v>#DIV/0!</v>
      </c>
      <c r="J70" s="603"/>
      <c r="K70" s="604" t="e">
        <f aca="false">ROUND(K71,2)/ORÇAMENTO!$X$15</f>
        <v>#DIV/0!</v>
      </c>
      <c r="L70" s="604"/>
      <c r="M70" s="604" t="e">
        <f aca="false">ROUND(M71,2)/ORÇAMENTO!$X$15</f>
        <v>#DIV/0!</v>
      </c>
      <c r="N70" s="604"/>
      <c r="O70" s="604" t="e">
        <f aca="false">ROUND(O71,2)/ORÇAMENTO!$X$15</f>
        <v>#DIV/0!</v>
      </c>
      <c r="P70" s="604"/>
      <c r="Q70" s="604" t="e">
        <f aca="false">ROUND(Q71,2)/ORÇAMENTO!$X$15</f>
        <v>#DIV/0!</v>
      </c>
      <c r="R70" s="604"/>
      <c r="S70" s="604" t="e">
        <f aca="false">ROUND(S71,2)/ORÇAMENTO!$X$15</f>
        <v>#DIV/0!</v>
      </c>
      <c r="T70" s="604"/>
      <c r="U70" s="604" t="e">
        <f aca="false">ROUND(U71,2)/ORÇAMENTO!$X$15</f>
        <v>#DIV/0!</v>
      </c>
      <c r="V70" s="604"/>
      <c r="W70" s="604" t="e">
        <f aca="false">ROUND(W71,2)/ORÇAMENTO!$X$15</f>
        <v>#DIV/0!</v>
      </c>
      <c r="X70" s="604"/>
      <c r="Y70" s="604" t="e">
        <f aca="false">ROUND(Y71,2)/ORÇAMENTO!$X$15</f>
        <v>#DIV/0!</v>
      </c>
      <c r="Z70" s="604"/>
      <c r="AA70" s="604" t="e">
        <f aca="false">ROUND(AA71,2)/ORÇAMENTO!$X$15</f>
        <v>#DIV/0!</v>
      </c>
      <c r="AB70" s="604"/>
      <c r="AC70" s="604" t="e">
        <f aca="false">ROUND(AC71,2)/ORÇAMENTO!$X$15</f>
        <v>#DIV/0!</v>
      </c>
      <c r="AD70" s="604"/>
      <c r="AE70" s="604" t="e">
        <f aca="false">ROUND(AE71,2)/ORÇAMENTO!$X$15</f>
        <v>#DIV/0!</v>
      </c>
      <c r="AF70" s="604"/>
    </row>
    <row r="71" customFormat="false" ht="12.75" hidden="false" customHeight="false" outlineLevel="0" collapsed="false">
      <c r="A71" s="48" t="s">
        <v>596</v>
      </c>
      <c r="D71" s="602"/>
      <c r="H71" s="58" t="s">
        <v>921</v>
      </c>
      <c r="I71" s="605" t="n">
        <f aca="false" t="array" ref="I71:I71">IF(I69=1,I73,ROUND(I73,2)-ROUND(SUMIF(CÁLCULO!$AX$15:$BH$59,"&lt;="&amp;PLE!I69-1,CÁLCULO!$AB$15:$AL$59)*IF(AdmLocal="Automática",(1+CÁLCULO.TotalAdmLocal/(ORÇAMENTO!$X$15-CÁLCULO.TotalAdmLocal)),1),2))</f>
        <v>0</v>
      </c>
      <c r="J71" s="605"/>
      <c r="K71" s="605" t="n">
        <f aca="false">ROUND(K73,2)-ROUND(I73,2)</f>
        <v>0</v>
      </c>
      <c r="L71" s="605"/>
      <c r="M71" s="605" t="n">
        <f aca="false">ROUND(M73,2)-ROUND(K73,2)</f>
        <v>0</v>
      </c>
      <c r="N71" s="605"/>
      <c r="O71" s="605" t="n">
        <f aca="false">ROUND(O73,2)-ROUND(M73,2)</f>
        <v>0</v>
      </c>
      <c r="P71" s="605"/>
      <c r="Q71" s="605" t="n">
        <f aca="false">ROUND(Q73,2)-ROUND(O73,2)</f>
        <v>0</v>
      </c>
      <c r="R71" s="605"/>
      <c r="S71" s="605" t="n">
        <f aca="false">ROUND(S73,2)-ROUND(Q73,2)</f>
        <v>0</v>
      </c>
      <c r="T71" s="605"/>
      <c r="U71" s="605" t="n">
        <f aca="false">ROUND(U73,2)-ROUND(S73,2)</f>
        <v>0</v>
      </c>
      <c r="V71" s="605"/>
      <c r="W71" s="605" t="n">
        <f aca="false">ROUND(W73,2)-ROUND(U73,2)</f>
        <v>0</v>
      </c>
      <c r="X71" s="605"/>
      <c r="Y71" s="605" t="n">
        <f aca="false">ROUND(Y73,2)-ROUND(W73,2)</f>
        <v>0</v>
      </c>
      <c r="Z71" s="605"/>
      <c r="AA71" s="605" t="n">
        <f aca="false">ROUND(AA73,2)-ROUND(Y73,2)</f>
        <v>0</v>
      </c>
      <c r="AB71" s="605"/>
      <c r="AC71" s="605" t="n">
        <f aca="false">ROUND(AC73,2)-ROUND(AA73,2)</f>
        <v>0</v>
      </c>
      <c r="AD71" s="605"/>
      <c r="AE71" s="605" t="n">
        <f aca="false">ROUND(AE73,2)-ROUND(AC73,2)</f>
        <v>0</v>
      </c>
      <c r="AF71" s="605"/>
    </row>
    <row r="72" customFormat="false" ht="12.75" hidden="false" customHeight="false" outlineLevel="0" collapsed="false">
      <c r="A72" s="48" t="s">
        <v>596</v>
      </c>
      <c r="D72" s="602" t="s">
        <v>942</v>
      </c>
      <c r="H72" s="317" t="s">
        <v>920</v>
      </c>
      <c r="I72" s="606" t="e">
        <f aca="false">ROUND(I73,2)/ORÇAMENTO!$X$15</f>
        <v>#DIV/0!</v>
      </c>
      <c r="J72" s="606"/>
      <c r="K72" s="607" t="e">
        <f aca="false">ROUND(K73,2)/ORÇAMENTO!$X$15</f>
        <v>#DIV/0!</v>
      </c>
      <c r="L72" s="607"/>
      <c r="M72" s="607" t="e">
        <f aca="false">ROUND(M73,2)/ORÇAMENTO!$X$15</f>
        <v>#DIV/0!</v>
      </c>
      <c r="N72" s="607"/>
      <c r="O72" s="607" t="e">
        <f aca="false">ROUND(O73,2)/ORÇAMENTO!$X$15</f>
        <v>#DIV/0!</v>
      </c>
      <c r="P72" s="607"/>
      <c r="Q72" s="607" t="e">
        <f aca="false">ROUND(Q73,2)/ORÇAMENTO!$X$15</f>
        <v>#DIV/0!</v>
      </c>
      <c r="R72" s="607"/>
      <c r="S72" s="607" t="e">
        <f aca="false">ROUND(S73,2)/ORÇAMENTO!$X$15</f>
        <v>#DIV/0!</v>
      </c>
      <c r="T72" s="607"/>
      <c r="U72" s="607" t="e">
        <f aca="false">ROUND(U73,2)/ORÇAMENTO!$X$15</f>
        <v>#DIV/0!</v>
      </c>
      <c r="V72" s="607"/>
      <c r="W72" s="607" t="e">
        <f aca="false">ROUND(W73,2)/ORÇAMENTO!$X$15</f>
        <v>#DIV/0!</v>
      </c>
      <c r="X72" s="607"/>
      <c r="Y72" s="607" t="e">
        <f aca="false">ROUND(Y73,2)/ORÇAMENTO!$X$15</f>
        <v>#DIV/0!</v>
      </c>
      <c r="Z72" s="607"/>
      <c r="AA72" s="607" t="e">
        <f aca="false">ROUND(AA73,2)/ORÇAMENTO!$X$15</f>
        <v>#DIV/0!</v>
      </c>
      <c r="AB72" s="607"/>
      <c r="AC72" s="607" t="e">
        <f aca="false">ROUND(AC73,2)/ORÇAMENTO!$X$15</f>
        <v>#DIV/0!</v>
      </c>
      <c r="AD72" s="607"/>
      <c r="AE72" s="607" t="e">
        <f aca="false">ROUND(AE73,2)/ORÇAMENTO!$X$15</f>
        <v>#DIV/0!</v>
      </c>
      <c r="AF72" s="607"/>
    </row>
    <row r="73" customFormat="false" ht="12.75" hidden="false" customHeight="false" outlineLevel="0" collapsed="false">
      <c r="A73" s="48" t="s">
        <v>596</v>
      </c>
      <c r="D73" s="602"/>
      <c r="H73" s="58" t="s">
        <v>921</v>
      </c>
      <c r="I73" s="608" t="n">
        <f aca="false" t="array" ref="I73:I73">SUMIF(CÁLCULO!$AX$15:$BH$59,"&lt;="&amp;PLE!I69,CÁLCULO!$AB$15:$AL$59)*IF(AdmLocal="Automática",(1+CÁLCULO.TotalAdmLocal/(ORÇAMENTO!$X$15-CÁLCULO.TotalAdmLocal)),1)</f>
        <v>0</v>
      </c>
      <c r="J73" s="608"/>
      <c r="K73" s="605" t="n">
        <f aca="false" t="array" ref="K73:K73">SUMIF(CÁLCULO!$AX$15:$BH$59,"&lt;="&amp;PLE!K69,CÁLCULO!$AB$15:$AL$59)*IF(AdmLocal="Automática",(1+CÁLCULO.TotalAdmLocal/(ORÇAMENTO!$X$15-CÁLCULO.TotalAdmLocal)),1)</f>
        <v>0</v>
      </c>
      <c r="L73" s="605"/>
      <c r="M73" s="605" t="n">
        <f aca="false" t="array" ref="M73:M73">SUMIF(CÁLCULO!$AX$15:$BH$59,"&lt;="&amp;PLE!M69,CÁLCULO!$AB$15:$AL$59)*IF(AdmLocal="Automática",(1+CÁLCULO.TotalAdmLocal/(ORÇAMENTO!$X$15-CÁLCULO.TotalAdmLocal)),1)</f>
        <v>0</v>
      </c>
      <c r="N73" s="605"/>
      <c r="O73" s="605" t="n">
        <f aca="false" t="array" ref="O73:O73">SUMIF(CÁLCULO!$AX$15:$BH$59,"&lt;="&amp;PLE!O69,CÁLCULO!$AB$15:$AL$59)*IF(AdmLocal="Automática",(1+CÁLCULO.TotalAdmLocal/(ORÇAMENTO!$X$15-CÁLCULO.TotalAdmLocal)),1)</f>
        <v>0</v>
      </c>
      <c r="P73" s="605"/>
      <c r="Q73" s="605" t="n">
        <f aca="false" t="array" ref="Q73:Q73">SUMIF(CÁLCULO!$AX$15:$BH$59,"&lt;="&amp;PLE!Q69,CÁLCULO!$AB$15:$AL$59)*IF(AdmLocal="Automática",(1+CÁLCULO.TotalAdmLocal/(ORÇAMENTO!$X$15-CÁLCULO.TotalAdmLocal)),1)</f>
        <v>0</v>
      </c>
      <c r="R73" s="605"/>
      <c r="S73" s="605" t="n">
        <f aca="false" t="array" ref="S73:S73">SUMIF(CÁLCULO!$AX$15:$BH$59,"&lt;="&amp;PLE!S69,CÁLCULO!$AB$15:$AL$59)*IF(AdmLocal="Automática",(1+CÁLCULO.TotalAdmLocal/(ORÇAMENTO!$X$15-CÁLCULO.TotalAdmLocal)),1)</f>
        <v>0</v>
      </c>
      <c r="T73" s="605"/>
      <c r="U73" s="605" t="n">
        <f aca="false" t="array" ref="U73:U73">SUMIF(CÁLCULO!$AX$15:$BH$59,"&lt;="&amp;PLE!U69,CÁLCULO!$AB$15:$AL$59)*IF(AdmLocal="Automática",(1+CÁLCULO.TotalAdmLocal/(ORÇAMENTO!$X$15-CÁLCULO.TotalAdmLocal)),1)</f>
        <v>0</v>
      </c>
      <c r="V73" s="605"/>
      <c r="W73" s="605" t="n">
        <f aca="false" t="array" ref="W73:W73">SUMIF(CÁLCULO!$AX$15:$BH$59,"&lt;="&amp;PLE!W69,CÁLCULO!$AB$15:$AL$59)*IF(AdmLocal="Automática",(1+CÁLCULO.TotalAdmLocal/(ORÇAMENTO!$X$15-CÁLCULO.TotalAdmLocal)),1)</f>
        <v>0</v>
      </c>
      <c r="X73" s="605"/>
      <c r="Y73" s="605" t="n">
        <f aca="false" t="array" ref="Y73:Y73">SUMIF(CÁLCULO!$AX$15:$BH$59,"&lt;="&amp;PLE!Y69,CÁLCULO!$AB$15:$AL$59)*IF(AdmLocal="Automática",(1+CÁLCULO.TotalAdmLocal/(ORÇAMENTO!$X$15-CÁLCULO.TotalAdmLocal)),1)</f>
        <v>0</v>
      </c>
      <c r="Z73" s="605"/>
      <c r="AA73" s="605" t="n">
        <f aca="false" t="array" ref="AA73:AA73">SUMIF(CÁLCULO!$AX$15:$BH$59,"&lt;="&amp;PLE!AA69,CÁLCULO!$AB$15:$AL$59)*IF(AdmLocal="Automática",(1+CÁLCULO.TotalAdmLocal/(ORÇAMENTO!$X$15-CÁLCULO.TotalAdmLocal)),1)</f>
        <v>0</v>
      </c>
      <c r="AB73" s="605"/>
      <c r="AC73" s="605" t="n">
        <f aca="false" t="array" ref="AC73:AC73">SUMIF(CÁLCULO!$AX$15:$BH$59,"&lt;="&amp;PLE!AC69,CÁLCULO!$AB$15:$AL$59)*IF(AdmLocal="Automática",(1+CÁLCULO.TotalAdmLocal/(ORÇAMENTO!$X$15-CÁLCULO.TotalAdmLocal)),1)</f>
        <v>0</v>
      </c>
      <c r="AD73" s="605"/>
      <c r="AE73" s="605" t="n">
        <f aca="false" t="array" ref="AE73:AE73">SUMIF(CÁLCULO!$AX$15:$BH$59,"&lt;="&amp;PLE!AE69,CÁLCULO!$AB$15:$AL$59)*IF(AdmLocal="Automática",(1+CÁLCULO.TotalAdmLocal/(ORÇAMENTO!$X$15-CÁLCULO.TotalAdmLocal)),1)</f>
        <v>0</v>
      </c>
      <c r="AF73" s="605"/>
    </row>
    <row r="74" customFormat="false" ht="12.75" hidden="false" customHeight="true" outlineLevel="0" collapsed="false">
      <c r="A74" s="48"/>
      <c r="D74" s="416" t="s">
        <v>923</v>
      </c>
      <c r="H74" s="410" t="s">
        <v>920</v>
      </c>
      <c r="I74" s="411" t="n">
        <f aca="true">IF(OR(ACOMPANHAMENTO&lt;&gt;"PLE",I69&gt;PLE.Medicao),0,
   IF(AUTOEVENTO="Manual",
      IF(AdmLocal="Automática",I72,
         IF(Import.EventoAdmLocal="","",SUMIF(OFFSET($G$14,CRONOPLE!$A$8+1,1,1,OFFSET($AG$12,0,-1)),"&lt;="&amp;I69,OFFSET(EVENTOS!$G$14,CRONOPLE!$A$8+1,1,1,OFFSET($AG$12,0,-1)))/OFFSET(EVENTOS!$G$14,CRONOPLE!$A$8+1,-1))),
      IF(Import.EventoAdmLocal="","",SUMIF(OFFSET(CÁLCULO!$AW$15,CRONOPLE!$A$10,1,OFFSET(ORÇAMENTO!$D$15,CRONOPLE!$A$10,0),COLUMN(CÁLCULO!$BH$15)-COLUMN(CÁLCULO!$AW$15)-1),"&lt;="&amp;I69,OFFSET(CÁLCULO!$AA$15,CRONOPLE!$A$10,1,OFFSET(ORÇAMENTO!$D$15,CRONOPLE!$A$10,0),COLUMN(CÁLCULO!$AL$15)-COLUMN(CÁLCULO!$AA$15)-1))/OFFSET(ORÇAMENTO!$X$15,CRONOPLE!$A$10,0))))</f>
        <v>0</v>
      </c>
      <c r="J74" s="411"/>
      <c r="K74" s="411" t="n">
        <f aca="true">IF(OR(ACOMPANHAMENTO&lt;&gt;"PLE",K69&gt;PLE.Medicao),0,
   IF(AUTOEVENTO="Manual",
      IF(AdmLocal="Automática",K72,
         IF(Import.EventoAdmLocal="","",SUMIF(OFFSET($G$14,CRONOPLE!$A$8+1,1,1,OFFSET($AG$12,0,-1)),"&lt;="&amp;K69,OFFSET(EVENTOS!$G$14,CRONOPLE!$A$8+1,1,1,OFFSET($AG$12,0,-1)))/OFFSET(EVENTOS!$G$14,CRONOPLE!$A$8+1,-1))),
      IF(Import.EventoAdmLocal="","",SUMIF(OFFSET(CÁLCULO!$AW$15,CRONOPLE!$A$10,1,OFFSET(ORÇAMENTO!$D$15,CRONOPLE!$A$10,0),COLUMN(CÁLCULO!$BH$15)-COLUMN(CÁLCULO!$AW$15)-1),"&lt;="&amp;K69,OFFSET(CÁLCULO!$AA$15,CRONOPLE!$A$10,1,OFFSET(ORÇAMENTO!$D$15,CRONOPLE!$A$10,0),COLUMN(CÁLCULO!$AL$15)-COLUMN(CÁLCULO!$AA$15)-1))/OFFSET(ORÇAMENTO!$X$15,CRONOPLE!$A$10,0))))</f>
        <v>0</v>
      </c>
      <c r="L74" s="411"/>
      <c r="M74" s="411" t="n">
        <f aca="true">IF(OR(ACOMPANHAMENTO&lt;&gt;"PLE",M69&gt;PLE.Medicao),0,
   IF(AUTOEVENTO="Manual",
      IF(AdmLocal="Automática",M72,
         IF(Import.EventoAdmLocal="","",SUMIF(OFFSET($G$14,CRONOPLE!$A$8+1,1,1,OFFSET($AG$12,0,-1)),"&lt;="&amp;M69,OFFSET(EVENTOS!$G$14,CRONOPLE!$A$8+1,1,1,OFFSET($AG$12,0,-1)))/OFFSET(EVENTOS!$G$14,CRONOPLE!$A$8+1,-1))),
      IF(Import.EventoAdmLocal="","",SUMIF(OFFSET(CÁLCULO!$AW$15,CRONOPLE!$A$10,1,OFFSET(ORÇAMENTO!$D$15,CRONOPLE!$A$10,0),COLUMN(CÁLCULO!$BH$15)-COLUMN(CÁLCULO!$AW$15)-1),"&lt;="&amp;M69,OFFSET(CÁLCULO!$AA$15,CRONOPLE!$A$10,1,OFFSET(ORÇAMENTO!$D$15,CRONOPLE!$A$10,0),COLUMN(CÁLCULO!$AL$15)-COLUMN(CÁLCULO!$AA$15)-1))/OFFSET(ORÇAMENTO!$X$15,CRONOPLE!$A$10,0))))</f>
        <v>0</v>
      </c>
      <c r="N74" s="411"/>
      <c r="O74" s="411" t="n">
        <f aca="true">IF(OR(ACOMPANHAMENTO&lt;&gt;"PLE",O69&gt;PLE.Medicao),0,
   IF(AUTOEVENTO="Manual",
      IF(AdmLocal="Automática",O72,
         IF(Import.EventoAdmLocal="","",SUMIF(OFFSET($G$14,CRONOPLE!$A$8+1,1,1,OFFSET($AG$12,0,-1)),"&lt;="&amp;O69,OFFSET(EVENTOS!$G$14,CRONOPLE!$A$8+1,1,1,OFFSET($AG$12,0,-1)))/OFFSET(EVENTOS!$G$14,CRONOPLE!$A$8+1,-1))),
      IF(Import.EventoAdmLocal="","",SUMIF(OFFSET(CÁLCULO!$AW$15,CRONOPLE!$A$10,1,OFFSET(ORÇAMENTO!$D$15,CRONOPLE!$A$10,0),COLUMN(CÁLCULO!$BH$15)-COLUMN(CÁLCULO!$AW$15)-1),"&lt;="&amp;O69,OFFSET(CÁLCULO!$AA$15,CRONOPLE!$A$10,1,OFFSET(ORÇAMENTO!$D$15,CRONOPLE!$A$10,0),COLUMN(CÁLCULO!$AL$15)-COLUMN(CÁLCULO!$AA$15)-1))/OFFSET(ORÇAMENTO!$X$15,CRONOPLE!$A$10,0))))</f>
        <v>0</v>
      </c>
      <c r="P74" s="411"/>
      <c r="Q74" s="411" t="n">
        <f aca="true">IF(OR(ACOMPANHAMENTO&lt;&gt;"PLE",Q69&gt;PLE.Medicao),0,
   IF(AUTOEVENTO="Manual",
      IF(AdmLocal="Automática",Q72,
         IF(Import.EventoAdmLocal="","",SUMIF(OFFSET($G$14,CRONOPLE!$A$8+1,1,1,OFFSET($AG$12,0,-1)),"&lt;="&amp;Q69,OFFSET(EVENTOS!$G$14,CRONOPLE!$A$8+1,1,1,OFFSET($AG$12,0,-1)))/OFFSET(EVENTOS!$G$14,CRONOPLE!$A$8+1,-1))),
      IF(Import.EventoAdmLocal="","",SUMIF(OFFSET(CÁLCULO!$AW$15,CRONOPLE!$A$10,1,OFFSET(ORÇAMENTO!$D$15,CRONOPLE!$A$10,0),COLUMN(CÁLCULO!$BH$15)-COLUMN(CÁLCULO!$AW$15)-1),"&lt;="&amp;Q69,OFFSET(CÁLCULO!$AA$15,CRONOPLE!$A$10,1,OFFSET(ORÇAMENTO!$D$15,CRONOPLE!$A$10,0),COLUMN(CÁLCULO!$AL$15)-COLUMN(CÁLCULO!$AA$15)-1))/OFFSET(ORÇAMENTO!$X$15,CRONOPLE!$A$10,0))))</f>
        <v>0</v>
      </c>
      <c r="R74" s="411"/>
      <c r="S74" s="411" t="n">
        <f aca="true">IF(OR(ACOMPANHAMENTO&lt;&gt;"PLE",S69&gt;PLE.Medicao),0,
   IF(AUTOEVENTO="Manual",
      IF(AdmLocal="Automática",S72,
         IF(Import.EventoAdmLocal="","",SUMIF(OFFSET($G$14,CRONOPLE!$A$8+1,1,1,OFFSET($AG$12,0,-1)),"&lt;="&amp;S69,OFFSET(EVENTOS!$G$14,CRONOPLE!$A$8+1,1,1,OFFSET($AG$12,0,-1)))/OFFSET(EVENTOS!$G$14,CRONOPLE!$A$8+1,-1))),
      IF(Import.EventoAdmLocal="","",SUMIF(OFFSET(CÁLCULO!$AW$15,CRONOPLE!$A$10,1,OFFSET(ORÇAMENTO!$D$15,CRONOPLE!$A$10,0),COLUMN(CÁLCULO!$BH$15)-COLUMN(CÁLCULO!$AW$15)-1),"&lt;="&amp;S69,OFFSET(CÁLCULO!$AA$15,CRONOPLE!$A$10,1,OFFSET(ORÇAMENTO!$D$15,CRONOPLE!$A$10,0),COLUMN(CÁLCULO!$AL$15)-COLUMN(CÁLCULO!$AA$15)-1))/OFFSET(ORÇAMENTO!$X$15,CRONOPLE!$A$10,0))))</f>
        <v>0</v>
      </c>
      <c r="T74" s="411"/>
      <c r="U74" s="411" t="n">
        <f aca="true">IF(OR(ACOMPANHAMENTO&lt;&gt;"PLE",U69&gt;PLE.Medicao),0,
   IF(AUTOEVENTO="Manual",
      IF(AdmLocal="Automática",U72,
         IF(Import.EventoAdmLocal="","",SUMIF(OFFSET($G$14,CRONOPLE!$A$8+1,1,1,OFFSET($AG$12,0,-1)),"&lt;="&amp;U69,OFFSET(EVENTOS!$G$14,CRONOPLE!$A$8+1,1,1,OFFSET($AG$12,0,-1)))/OFFSET(EVENTOS!$G$14,CRONOPLE!$A$8+1,-1))),
      IF(Import.EventoAdmLocal="","",SUMIF(OFFSET(CÁLCULO!$AW$15,CRONOPLE!$A$10,1,OFFSET(ORÇAMENTO!$D$15,CRONOPLE!$A$10,0),COLUMN(CÁLCULO!$BH$15)-COLUMN(CÁLCULO!$AW$15)-1),"&lt;="&amp;U69,OFFSET(CÁLCULO!$AA$15,CRONOPLE!$A$10,1,OFFSET(ORÇAMENTO!$D$15,CRONOPLE!$A$10,0),COLUMN(CÁLCULO!$AL$15)-COLUMN(CÁLCULO!$AA$15)-1))/OFFSET(ORÇAMENTO!$X$15,CRONOPLE!$A$10,0))))</f>
        <v>0</v>
      </c>
      <c r="V74" s="411"/>
      <c r="W74" s="411" t="n">
        <f aca="true">IF(OR(ACOMPANHAMENTO&lt;&gt;"PLE",W69&gt;PLE.Medicao),0,
   IF(AUTOEVENTO="Manual",
      IF(AdmLocal="Automática",W72,
         IF(Import.EventoAdmLocal="","",SUMIF(OFFSET($G$14,CRONOPLE!$A$8+1,1,1,OFFSET($AG$12,0,-1)),"&lt;="&amp;W69,OFFSET(EVENTOS!$G$14,CRONOPLE!$A$8+1,1,1,OFFSET($AG$12,0,-1)))/OFFSET(EVENTOS!$G$14,CRONOPLE!$A$8+1,-1))),
      IF(Import.EventoAdmLocal="","",SUMIF(OFFSET(CÁLCULO!$AW$15,CRONOPLE!$A$10,1,OFFSET(ORÇAMENTO!$D$15,CRONOPLE!$A$10,0),COLUMN(CÁLCULO!$BH$15)-COLUMN(CÁLCULO!$AW$15)-1),"&lt;="&amp;W69,OFFSET(CÁLCULO!$AA$15,CRONOPLE!$A$10,1,OFFSET(ORÇAMENTO!$D$15,CRONOPLE!$A$10,0),COLUMN(CÁLCULO!$AL$15)-COLUMN(CÁLCULO!$AA$15)-1))/OFFSET(ORÇAMENTO!$X$15,CRONOPLE!$A$10,0))))</f>
        <v>0</v>
      </c>
      <c r="X74" s="411"/>
      <c r="Y74" s="411" t="n">
        <f aca="true">IF(OR(ACOMPANHAMENTO&lt;&gt;"PLE",Y69&gt;PLE.Medicao),0,
   IF(AUTOEVENTO="Manual",
      IF(AdmLocal="Automática",Y72,
         IF(Import.EventoAdmLocal="","",SUMIF(OFFSET($G$14,CRONOPLE!$A$8+1,1,1,OFFSET($AG$12,0,-1)),"&lt;="&amp;Y69,OFFSET(EVENTOS!$G$14,CRONOPLE!$A$8+1,1,1,OFFSET($AG$12,0,-1)))/OFFSET(EVENTOS!$G$14,CRONOPLE!$A$8+1,-1))),
      IF(Import.EventoAdmLocal="","",SUMIF(OFFSET(CÁLCULO!$AW$15,CRONOPLE!$A$10,1,OFFSET(ORÇAMENTO!$D$15,CRONOPLE!$A$10,0),COLUMN(CÁLCULO!$BH$15)-COLUMN(CÁLCULO!$AW$15)-1),"&lt;="&amp;Y69,OFFSET(CÁLCULO!$AA$15,CRONOPLE!$A$10,1,OFFSET(ORÇAMENTO!$D$15,CRONOPLE!$A$10,0),COLUMN(CÁLCULO!$AL$15)-COLUMN(CÁLCULO!$AA$15)-1))/OFFSET(ORÇAMENTO!$X$15,CRONOPLE!$A$10,0))))</f>
        <v>0</v>
      </c>
      <c r="Z74" s="411"/>
      <c r="AA74" s="411" t="n">
        <f aca="true">IF(OR(ACOMPANHAMENTO&lt;&gt;"PLE",AA69&gt;PLE.Medicao),0,
   IF(AUTOEVENTO="Manual",
      IF(AdmLocal="Automática",AA72,
         IF(Import.EventoAdmLocal="","",SUMIF(OFFSET($G$14,CRONOPLE!$A$8+1,1,1,OFFSET($AG$12,0,-1)),"&lt;="&amp;AA69,OFFSET(EVENTOS!$G$14,CRONOPLE!$A$8+1,1,1,OFFSET($AG$12,0,-1)))/OFFSET(EVENTOS!$G$14,CRONOPLE!$A$8+1,-1))),
      IF(Import.EventoAdmLocal="","",SUMIF(OFFSET(CÁLCULO!$AW$15,CRONOPLE!$A$10,1,OFFSET(ORÇAMENTO!$D$15,CRONOPLE!$A$10,0),COLUMN(CÁLCULO!$BH$15)-COLUMN(CÁLCULO!$AW$15)-1),"&lt;="&amp;AA69,OFFSET(CÁLCULO!$AA$15,CRONOPLE!$A$10,1,OFFSET(ORÇAMENTO!$D$15,CRONOPLE!$A$10,0),COLUMN(CÁLCULO!$AL$15)-COLUMN(CÁLCULO!$AA$15)-1))/OFFSET(ORÇAMENTO!$X$15,CRONOPLE!$A$10,0))))</f>
        <v>0</v>
      </c>
      <c r="AB74" s="411"/>
      <c r="AC74" s="411" t="n">
        <f aca="true">IF(OR(ACOMPANHAMENTO&lt;&gt;"PLE",AC69&gt;PLE.Medicao),0,
   IF(AUTOEVENTO="Manual",
      IF(AdmLocal="Automática",AC72,
         IF(Import.EventoAdmLocal="","",SUMIF(OFFSET($G$14,CRONOPLE!$A$8+1,1,1,OFFSET($AG$12,0,-1)),"&lt;="&amp;AC69,OFFSET(EVENTOS!$G$14,CRONOPLE!$A$8+1,1,1,OFFSET($AG$12,0,-1)))/OFFSET(EVENTOS!$G$14,CRONOPLE!$A$8+1,-1))),
      IF(Import.EventoAdmLocal="","",SUMIF(OFFSET(CÁLCULO!$AW$15,CRONOPLE!$A$10,1,OFFSET(ORÇAMENTO!$D$15,CRONOPLE!$A$10,0),COLUMN(CÁLCULO!$BH$15)-COLUMN(CÁLCULO!$AW$15)-1),"&lt;="&amp;AC69,OFFSET(CÁLCULO!$AA$15,CRONOPLE!$A$10,1,OFFSET(ORÇAMENTO!$D$15,CRONOPLE!$A$10,0),COLUMN(CÁLCULO!$AL$15)-COLUMN(CÁLCULO!$AA$15)-1))/OFFSET(ORÇAMENTO!$X$15,CRONOPLE!$A$10,0))))</f>
        <v>0</v>
      </c>
      <c r="AD74" s="411"/>
      <c r="AE74" s="411" t="n">
        <f aca="true">IF(OR(ACOMPANHAMENTO&lt;&gt;"PLE",AE69&gt;PLE.Medicao),0,
   IF(AUTOEVENTO="Manual",
      IF(AdmLocal="Automática",AE72,
         IF(Import.EventoAdmLocal="","",SUMIF(OFFSET($G$14,CRONOPLE!$A$8+1,1,1,OFFSET($AG$12,0,-1)),"&lt;="&amp;AE69,OFFSET(EVENTOS!$G$14,CRONOPLE!$A$8+1,1,1,OFFSET($AG$12,0,-1)))/OFFSET(EVENTOS!$G$14,CRONOPLE!$A$8+1,-1))),
      IF(Import.EventoAdmLocal="","",SUMIF(OFFSET(CÁLCULO!$AW$15,CRONOPLE!$A$10,1,OFFSET(ORÇAMENTO!$D$15,CRONOPLE!$A$10,0),COLUMN(CÁLCULO!$BH$15)-COLUMN(CÁLCULO!$AW$15)-1),"&lt;="&amp;AE69,OFFSET(CÁLCULO!$AA$15,CRONOPLE!$A$10,1,OFFSET(ORÇAMENTO!$D$15,CRONOPLE!$A$10,0),COLUMN(CÁLCULO!$AL$15)-COLUMN(CÁLCULO!$AA$15)-1))/OFFSET(ORÇAMENTO!$X$15,CRONOPLE!$A$10,0))))</f>
        <v>0</v>
      </c>
      <c r="AF74" s="411"/>
    </row>
    <row r="75" customFormat="false" ht="12.75" hidden="false" customHeight="false" outlineLevel="0" collapsed="false">
      <c r="A75" s="48" t="s">
        <v>596</v>
      </c>
      <c r="D75" s="609"/>
      <c r="H75" s="420" t="str">
        <f aca="false">IF(COUNTIF(I75:AG75,"%Adm&gt;%Global")&gt;0,"Verificar proporcionalidade da Administração Local","")</f>
        <v/>
      </c>
      <c r="I75" s="421" t="e">
        <f aca="false">IF(I74="","",IF(ROUND(I74,4)&gt;ROUND(I72,4),"%Adm&gt;%Global",""))</f>
        <v>#DIV/0!</v>
      </c>
      <c r="J75" s="610"/>
      <c r="K75" s="421" t="e">
        <f aca="false">IF(K74="","",IF(ROUND(K74,4)&gt;ROUND(K72,4),"%Adm&gt;%Global",""))</f>
        <v>#DIV/0!</v>
      </c>
      <c r="L75" s="610"/>
      <c r="M75" s="421" t="e">
        <f aca="false">IF(M74="","",IF(ROUND(M74,4)&gt;ROUND(M72,4),"%Adm&gt;%Global",""))</f>
        <v>#DIV/0!</v>
      </c>
      <c r="N75" s="610"/>
      <c r="O75" s="421" t="e">
        <f aca="false">IF(O74="","",IF(ROUND(O74,4)&gt;ROUND(O72,4),"%Adm&gt;%Global",""))</f>
        <v>#DIV/0!</v>
      </c>
      <c r="P75" s="610"/>
      <c r="Q75" s="421" t="e">
        <f aca="false">IF(Q74="","",IF(ROUND(Q74,4)&gt;ROUND(Q72,4),"%Adm&gt;%Global",""))</f>
        <v>#DIV/0!</v>
      </c>
      <c r="R75" s="610"/>
      <c r="S75" s="421" t="e">
        <f aca="false">IF(S74="","",IF(ROUND(S74,4)&gt;ROUND(S72,4),"%Adm&gt;%Global",""))</f>
        <v>#DIV/0!</v>
      </c>
      <c r="T75" s="610"/>
      <c r="U75" s="421" t="e">
        <f aca="false">IF(U74="","",IF(ROUND(U74,4)&gt;ROUND(U72,4),"%Adm&gt;%Global",""))</f>
        <v>#DIV/0!</v>
      </c>
      <c r="V75" s="610"/>
      <c r="W75" s="421" t="e">
        <f aca="false">IF(W74="","",IF(ROUND(W74,4)&gt;ROUND(W72,4),"%Adm&gt;%Global",""))</f>
        <v>#DIV/0!</v>
      </c>
      <c r="X75" s="610"/>
      <c r="Y75" s="421" t="e">
        <f aca="false">IF(Y74="","",IF(ROUND(Y74,4)&gt;ROUND(Y72,4),"%Adm&gt;%Global",""))</f>
        <v>#DIV/0!</v>
      </c>
      <c r="Z75" s="610"/>
      <c r="AA75" s="421" t="e">
        <f aca="false">IF(AA74="","",IF(ROUND(AA74,4)&gt;ROUND(AA72,4),"%Adm&gt;%Global",""))</f>
        <v>#DIV/0!</v>
      </c>
      <c r="AB75" s="610"/>
      <c r="AC75" s="421" t="e">
        <f aca="false">IF(AC74="","",IF(ROUND(AC74,4)&gt;ROUND(AC72,4),"%Adm&gt;%Global",""))</f>
        <v>#DIV/0!</v>
      </c>
      <c r="AD75" s="610"/>
      <c r="AE75" s="421" t="e">
        <f aca="false">IF(AE74="","",IF(ROUND(AE74,4)&gt;ROUND(AE72,4),"%Adm&gt;%Global",""))</f>
        <v>#DIV/0!</v>
      </c>
      <c r="AF75" s="610"/>
    </row>
    <row r="76" customFormat="false" ht="20.25" hidden="false" customHeight="true" outlineLevel="0" collapsed="false">
      <c r="A76" s="48" t="s">
        <v>596</v>
      </c>
      <c r="I76" s="611"/>
      <c r="J76" s="611"/>
    </row>
    <row r="77" customFormat="false" ht="13.8" hidden="false" customHeight="false" outlineLevel="0" collapsed="false">
      <c r="A77" s="48" t="s">
        <v>596</v>
      </c>
      <c r="B77" s="258" t="str">
        <f aca="false">Import.Município</f>
        <v>TRAMANDAI/RS</v>
      </c>
      <c r="C77" s="258"/>
      <c r="D77" s="258"/>
      <c r="S77" s="62" t="str">
        <f aca="false">IF(DADOS!$D$50&lt;&gt;"","Preencher os Dados do Responsável pela Fiscalização, na aba DADOS.","")</f>
        <v/>
      </c>
      <c r="U77" s="259"/>
      <c r="V77" s="259"/>
      <c r="W77" s="259"/>
      <c r="X77" s="259"/>
      <c r="Y77" s="46"/>
      <c r="Z77" s="46"/>
      <c r="AA77" s="46"/>
      <c r="AB77" s="46"/>
      <c r="AC77" s="46"/>
      <c r="AD77" s="46"/>
    </row>
    <row r="78" customFormat="false" ht="12.75" hidden="false" customHeight="false" outlineLevel="0" collapsed="false">
      <c r="A78" s="48" t="s">
        <v>596</v>
      </c>
      <c r="B78" s="52" t="s">
        <v>755</v>
      </c>
      <c r="U78" s="260" t="s">
        <v>989</v>
      </c>
    </row>
    <row r="79" customFormat="false" ht="12.75" hidden="false" customHeight="false" outlineLevel="0" collapsed="false">
      <c r="A79" s="48" t="s">
        <v>596</v>
      </c>
      <c r="I79" s="150"/>
      <c r="U79" s="148" t="s">
        <v>297</v>
      </c>
      <c r="W79" s="612" t="n">
        <f aca="false" t="array" ref="W79:W82">Import.RespFiscalização</f>
        <v>0</v>
      </c>
    </row>
    <row r="80" customFormat="false" ht="12.75" hidden="false" customHeight="false" outlineLevel="0" collapsed="false">
      <c r="A80" s="48" t="s">
        <v>596</v>
      </c>
      <c r="B80" s="261" t="n">
        <f aca="false">DADOS!$C$48</f>
        <v>0</v>
      </c>
      <c r="C80" s="261"/>
      <c r="D80" s="261"/>
      <c r="I80" s="150"/>
      <c r="U80" s="148" t="s">
        <v>379</v>
      </c>
      <c r="W80" s="612" t="n">
        <v>0</v>
      </c>
    </row>
    <row r="81" customFormat="false" ht="12.75" hidden="false" customHeight="false" outlineLevel="0" collapsed="false">
      <c r="A81" s="48" t="s">
        <v>596</v>
      </c>
      <c r="B81" s="262" t="s">
        <v>756</v>
      </c>
      <c r="C81" s="32"/>
      <c r="D81" s="32"/>
      <c r="I81" s="150"/>
      <c r="U81" s="148" t="s">
        <v>301</v>
      </c>
      <c r="W81" s="612" t="n">
        <v>0</v>
      </c>
    </row>
    <row r="82" customFormat="false" ht="12.75" hidden="false" customHeight="false" outlineLevel="0" collapsed="false">
      <c r="U82" s="148" t="s">
        <v>305</v>
      </c>
      <c r="W82" s="63" t="n">
        <v>0</v>
      </c>
    </row>
  </sheetData>
  <sheetProtection algorithmName="SHA-512" hashValue="u3J2QCyQr08Tx8kA2fft+W6ukdwbHMc28b8hwMtbcfZ1PhEIpcWxqHtVsCTui4pHpAfYF7ULMYQO2xzgQnnnWg==" saltValue="etHTgvBp62oFXRKbR0XqFw==" spinCount="100000" sheet="true" objects="true" scenarios="true" autoFilter="false"/>
  <autoFilter ref="A13:A81"/>
  <mergeCells count="156">
    <mergeCell ref="C1:D1"/>
    <mergeCell ref="AD3:AF3"/>
    <mergeCell ref="AD4:AF4"/>
    <mergeCell ref="AE6:AF6"/>
    <mergeCell ref="B7:C7"/>
    <mergeCell ref="H7:N7"/>
    <mergeCell ref="O7:U7"/>
    <mergeCell ref="V7:AD7"/>
    <mergeCell ref="AE7:AF7"/>
    <mergeCell ref="J9:K9"/>
    <mergeCell ref="N9:T9"/>
    <mergeCell ref="Y9:Z9"/>
    <mergeCell ref="AE9:AF9"/>
    <mergeCell ref="C11:D11"/>
    <mergeCell ref="B12:B13"/>
    <mergeCell ref="C12:D13"/>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I67:AF67"/>
    <mergeCell ref="I68:J68"/>
    <mergeCell ref="K68:L68"/>
    <mergeCell ref="M68:N68"/>
    <mergeCell ref="O68:P68"/>
    <mergeCell ref="Q68:R68"/>
    <mergeCell ref="S68:T68"/>
    <mergeCell ref="U68:V68"/>
    <mergeCell ref="W68:X68"/>
    <mergeCell ref="Y68:Z68"/>
    <mergeCell ref="AA68:AB68"/>
    <mergeCell ref="AC68:AD68"/>
    <mergeCell ref="AE68:AF68"/>
    <mergeCell ref="I69:J69"/>
    <mergeCell ref="K69:L69"/>
    <mergeCell ref="M69:N69"/>
    <mergeCell ref="O69:P69"/>
    <mergeCell ref="Q69:R69"/>
    <mergeCell ref="S69:T69"/>
    <mergeCell ref="U69:V69"/>
    <mergeCell ref="W69:X69"/>
    <mergeCell ref="Y69:Z69"/>
    <mergeCell ref="AA69:AB69"/>
    <mergeCell ref="AC69:AD69"/>
    <mergeCell ref="AE69:AF69"/>
    <mergeCell ref="D70:D71"/>
    <mergeCell ref="I70:J70"/>
    <mergeCell ref="K70:L70"/>
    <mergeCell ref="M70:N70"/>
    <mergeCell ref="O70:P70"/>
    <mergeCell ref="Q70:R70"/>
    <mergeCell ref="S70:T70"/>
    <mergeCell ref="U70:V70"/>
    <mergeCell ref="W70:X70"/>
    <mergeCell ref="Y70:Z70"/>
    <mergeCell ref="AA70:AB70"/>
    <mergeCell ref="AC70:AD70"/>
    <mergeCell ref="AE70:AF70"/>
    <mergeCell ref="I71:J71"/>
    <mergeCell ref="K71:L71"/>
    <mergeCell ref="M71:N71"/>
    <mergeCell ref="O71:P71"/>
    <mergeCell ref="Q71:R71"/>
    <mergeCell ref="S71:T71"/>
    <mergeCell ref="U71:V71"/>
    <mergeCell ref="W71:X71"/>
    <mergeCell ref="Y71:Z71"/>
    <mergeCell ref="AA71:AB71"/>
    <mergeCell ref="AC71:AD71"/>
    <mergeCell ref="AE71:AF71"/>
    <mergeCell ref="D72:D73"/>
    <mergeCell ref="I72:J72"/>
    <mergeCell ref="K72:L72"/>
    <mergeCell ref="M72:N72"/>
    <mergeCell ref="O72:P72"/>
    <mergeCell ref="Q72:R72"/>
    <mergeCell ref="S72:T72"/>
    <mergeCell ref="U72:V72"/>
    <mergeCell ref="W72:X72"/>
    <mergeCell ref="Y72:Z72"/>
    <mergeCell ref="AA72:AB72"/>
    <mergeCell ref="AC72:AD72"/>
    <mergeCell ref="AE72:AF72"/>
    <mergeCell ref="I73:J73"/>
    <mergeCell ref="K73:L73"/>
    <mergeCell ref="M73:N73"/>
    <mergeCell ref="O73:P73"/>
    <mergeCell ref="Q73:R73"/>
    <mergeCell ref="S73:T73"/>
    <mergeCell ref="U73:V73"/>
    <mergeCell ref="W73:X73"/>
    <mergeCell ref="Y73:Z73"/>
    <mergeCell ref="AA73:AB73"/>
    <mergeCell ref="AC73:AD73"/>
    <mergeCell ref="AE73:AF73"/>
    <mergeCell ref="I74:J74"/>
    <mergeCell ref="K74:L74"/>
    <mergeCell ref="M74:N74"/>
    <mergeCell ref="O74:P74"/>
    <mergeCell ref="Q74:R74"/>
    <mergeCell ref="S74:T74"/>
    <mergeCell ref="U74:V74"/>
    <mergeCell ref="W74:X74"/>
    <mergeCell ref="Y74:Z74"/>
    <mergeCell ref="AA74:AB74"/>
    <mergeCell ref="AC74:AD74"/>
    <mergeCell ref="AE74:AF74"/>
    <mergeCell ref="I76:J76"/>
    <mergeCell ref="B77:D77"/>
    <mergeCell ref="B80:D80"/>
  </mergeCells>
  <conditionalFormatting sqref="F61:F64">
    <cfRule type="expression" priority="2" aboveAverage="0" equalAverage="0" bottom="0" percent="0" rank="0" text="" dxfId="402">
      <formula>IF(OR(ACOMPANHAMENTO="BM",F$12&gt;CÁLCULO.NúmeroDeFrentes),1,PLE.ValorDoEvento=0)</formula>
    </cfRule>
    <cfRule type="cellIs" priority="3" operator="equal" aboveAverage="0" equalAverage="0" bottom="0" percent="0" rank="0" text="" dxfId="403">
      <formula>$J$9</formula>
    </cfRule>
  </conditionalFormatting>
  <conditionalFormatting sqref="H61:AF64">
    <cfRule type="expression" priority="4" aboveAverage="0" equalAverage="0" bottom="0" percent="0" rank="0" text="" dxfId="404">
      <formula>IF(OR(ACOMPANHAMENTO="BM",TIPOORCAMENTO="Proposto",H$12&gt;CÁLCULO.NúmeroDeFrentes),1,PLE.ValorDoEvento=0)</formula>
    </cfRule>
    <cfRule type="cellIs" priority="5" operator="equal" aboveAverage="0" equalAverage="0" bottom="0" percent="0" rank="0" text="" dxfId="405">
      <formula>$J$9</formula>
    </cfRule>
  </conditionalFormatting>
  <conditionalFormatting sqref="F52:F60">
    <cfRule type="expression" priority="6" aboveAverage="0" equalAverage="0" bottom="0" percent="0" rank="0" text="" dxfId="406">
      <formula>IF(OR(ACOMPANHAMENTO="BM",F$12&gt;CÁLCULO.NúmeroDeFrentes),1,PLE.ValorDoEvento=0)</formula>
    </cfRule>
    <cfRule type="cellIs" priority="7" operator="equal" aboveAverage="0" equalAverage="0" bottom="0" percent="0" rank="0" text="" dxfId="407">
      <formula>$J$9</formula>
    </cfRule>
  </conditionalFormatting>
  <conditionalFormatting sqref="H52:AF60">
    <cfRule type="expression" priority="8" aboveAverage="0" equalAverage="0" bottom="0" percent="0" rank="0" text="" dxfId="408">
      <formula>IF(OR(ACOMPANHAMENTO="BM",TIPOORCAMENTO="Proposto",H$12&gt;CÁLCULO.NúmeroDeFrentes),1,PLE.ValorDoEvento=0)</formula>
    </cfRule>
    <cfRule type="cellIs" priority="9" operator="equal" aboveAverage="0" equalAverage="0" bottom="0" percent="0" rank="0" text="" dxfId="409">
      <formula>$J$9</formula>
    </cfRule>
  </conditionalFormatting>
  <conditionalFormatting sqref="F43:F51">
    <cfRule type="expression" priority="10" aboveAverage="0" equalAverage="0" bottom="0" percent="0" rank="0" text="" dxfId="410">
      <formula>IF(OR(ACOMPANHAMENTO="BM",F$12&gt;CÁLCULO.NúmeroDeFrentes),1,PLE.ValorDoEvento=0)</formula>
    </cfRule>
    <cfRule type="cellIs" priority="11" operator="equal" aboveAverage="0" equalAverage="0" bottom="0" percent="0" rank="0" text="" dxfId="411">
      <formula>$J$9</formula>
    </cfRule>
  </conditionalFormatting>
  <conditionalFormatting sqref="H43:AF51">
    <cfRule type="expression" priority="12" aboveAverage="0" equalAverage="0" bottom="0" percent="0" rank="0" text="" dxfId="412">
      <formula>IF(OR(ACOMPANHAMENTO="BM",TIPOORCAMENTO="Proposto",H$12&gt;CÁLCULO.NúmeroDeFrentes),1,PLE.ValorDoEvento=0)</formula>
    </cfRule>
    <cfRule type="cellIs" priority="13" operator="equal" aboveAverage="0" equalAverage="0" bottom="0" percent="0" rank="0" text="" dxfId="413">
      <formula>$J$9</formula>
    </cfRule>
  </conditionalFormatting>
  <conditionalFormatting sqref="F34:F42">
    <cfRule type="expression" priority="14" aboveAverage="0" equalAverage="0" bottom="0" percent="0" rank="0" text="" dxfId="414">
      <formula>IF(OR(ACOMPANHAMENTO="BM",F$12&gt;CÁLCULO.NúmeroDeFrentes),1,PLE.ValorDoEvento=0)</formula>
    </cfRule>
    <cfRule type="cellIs" priority="15" operator="equal" aboveAverage="0" equalAverage="0" bottom="0" percent="0" rank="0" text="" dxfId="415">
      <formula>$J$9</formula>
    </cfRule>
  </conditionalFormatting>
  <conditionalFormatting sqref="H34:AF42">
    <cfRule type="expression" priority="16" aboveAverage="0" equalAverage="0" bottom="0" percent="0" rank="0" text="" dxfId="416">
      <formula>IF(OR(ACOMPANHAMENTO="BM",TIPOORCAMENTO="Proposto",H$12&gt;CÁLCULO.NúmeroDeFrentes),1,PLE.ValorDoEvento=0)</formula>
    </cfRule>
    <cfRule type="cellIs" priority="17" operator="equal" aboveAverage="0" equalAverage="0" bottom="0" percent="0" rank="0" text="" dxfId="417">
      <formula>$J$9</formula>
    </cfRule>
  </conditionalFormatting>
  <conditionalFormatting sqref="F25:F33">
    <cfRule type="expression" priority="18" aboveAverage="0" equalAverage="0" bottom="0" percent="0" rank="0" text="" dxfId="418">
      <formula>IF(OR(ACOMPANHAMENTO="BM",F$12&gt;CÁLCULO.NúmeroDeFrentes),1,PLE.ValorDoEvento=0)</formula>
    </cfRule>
    <cfRule type="cellIs" priority="19" operator="equal" aboveAverage="0" equalAverage="0" bottom="0" percent="0" rank="0" text="" dxfId="419">
      <formula>$J$9</formula>
    </cfRule>
  </conditionalFormatting>
  <conditionalFormatting sqref="H25:AF33">
    <cfRule type="expression" priority="20" aboveAverage="0" equalAverage="0" bottom="0" percent="0" rank="0" text="" dxfId="420">
      <formula>IF(OR(ACOMPANHAMENTO="BM",TIPOORCAMENTO="Proposto",H$12&gt;CÁLCULO.NúmeroDeFrentes),1,PLE.ValorDoEvento=0)</formula>
    </cfRule>
    <cfRule type="cellIs" priority="21" operator="equal" aboveAverage="0" equalAverage="0" bottom="0" percent="0" rank="0" text="" dxfId="421">
      <formula>$J$9</formula>
    </cfRule>
  </conditionalFormatting>
  <conditionalFormatting sqref="F16:F24">
    <cfRule type="expression" priority="22" aboveAverage="0" equalAverage="0" bottom="0" percent="0" rank="0" text="" dxfId="422">
      <formula>IF(OR(ACOMPANHAMENTO="BM",F$12&gt;CÁLCULO.NúmeroDeFrentes),1,PLE.ValorDoEvento=0)</formula>
    </cfRule>
    <cfRule type="cellIs" priority="23" operator="equal" aboveAverage="0" equalAverage="0" bottom="0" percent="0" rank="0" text="" dxfId="423">
      <formula>$J$9</formula>
    </cfRule>
  </conditionalFormatting>
  <conditionalFormatting sqref="H16:AF24">
    <cfRule type="expression" priority="24" aboveAverage="0" equalAverage="0" bottom="0" percent="0" rank="0" text="" dxfId="424">
      <formula>IF(OR(ACOMPANHAMENTO="BM",TIPOORCAMENTO="Proposto",H$12&gt;CÁLCULO.NúmeroDeFrentes),1,PLE.ValorDoEvento=0)</formula>
    </cfRule>
    <cfRule type="cellIs" priority="25" operator="equal" aboveAverage="0" equalAverage="0" bottom="0" percent="0" rank="0" text="" dxfId="425">
      <formula>$J$9</formula>
    </cfRule>
  </conditionalFormatting>
  <conditionalFormatting sqref="N13">
    <cfRule type="expression" priority="26" aboveAverage="0" equalAverage="0" bottom="0" percent="0" rank="0" text="" dxfId="426">
      <formula>$Y$9=0</formula>
    </cfRule>
  </conditionalFormatting>
  <conditionalFormatting sqref="I74:AF74">
    <cfRule type="expression" priority="27" aboveAverage="0" equalAverage="0" bottom="0" percent="0" rank="0" text="" dxfId="427">
      <formula>ROUND(I74,4)&gt;ROUND(I72,4)</formula>
    </cfRule>
  </conditionalFormatting>
  <conditionalFormatting sqref="K74:AF74">
    <cfRule type="expression" priority="28" aboveAverage="0" equalAverage="0" bottom="0" percent="0" rank="0" text="" dxfId="428">
      <formula>OFFSET(K74,-2,-2)=1</formula>
    </cfRule>
  </conditionalFormatting>
  <conditionalFormatting sqref="K70:AF73">
    <cfRule type="expression" priority="29" aboveAverage="0" equalAverage="0" bottom="0" percent="0" rank="0" text="" dxfId="429">
      <formula>I$72=100%</formula>
    </cfRule>
  </conditionalFormatting>
  <conditionalFormatting sqref="I69:J69">
    <cfRule type="cellIs" priority="30" operator="notEqual" aboveAverage="0" equalAverage="0" bottom="0" percent="0" rank="0" text="" dxfId="430">
      <formula>1</formula>
    </cfRule>
  </conditionalFormatting>
  <conditionalFormatting sqref="F1:F2">
    <cfRule type="expression" priority="31" aboveAverage="0" equalAverage="0" bottom="0" percent="0" rank="0" text="" dxfId="431">
      <formula>IF(OR(ACOMPANHAMENTO="BM",F$12&gt;CÁLCULO.NúmeroDeFrentes),1,PLE.ValorDoEvento=0)</formula>
    </cfRule>
    <cfRule type="cellIs" priority="32" operator="equal" aboveAverage="0" equalAverage="0" bottom="0" percent="0" rank="0" text="" dxfId="432">
      <formula>$J$9</formula>
    </cfRule>
  </conditionalFormatting>
  <conditionalFormatting sqref="I70:AF70">
    <cfRule type="expression" priority="33" aboveAverage="0" equalAverage="0" bottom="0" percent="0" rank="0" text="" dxfId="433">
      <formula>I69=$J$9</formula>
    </cfRule>
  </conditionalFormatting>
  <conditionalFormatting sqref="I71:AF71">
    <cfRule type="expression" priority="34" aboveAverage="0" equalAverage="0" bottom="0" percent="0" rank="0" text="" dxfId="434">
      <formula>I69=$J$9</formula>
    </cfRule>
  </conditionalFormatting>
  <conditionalFormatting sqref="I72:AF72">
    <cfRule type="expression" priority="35" aboveAverage="0" equalAverage="0" bottom="0" percent="0" rank="0" text="" dxfId="435">
      <formula>I69=$J$9</formula>
    </cfRule>
  </conditionalFormatting>
  <conditionalFormatting sqref="I73:AF73">
    <cfRule type="expression" priority="36" aboveAverage="0" equalAverage="0" bottom="0" percent="0" rank="0" text="" dxfId="436">
      <formula>I69=$J$9</formula>
    </cfRule>
  </conditionalFormatting>
  <conditionalFormatting sqref="AE6:AE7">
    <cfRule type="expression" priority="37" aboveAverage="0" equalAverage="0" bottom="0" percent="0" rank="0" text="" dxfId="437">
      <formula>TIPOORCAMENTO&lt;&gt;"Licitado"</formula>
    </cfRule>
  </conditionalFormatting>
  <conditionalFormatting sqref="N9:T9">
    <cfRule type="expression" priority="38" aboveAverage="0" equalAverage="0" bottom="0" percent="0" rank="0" text="" dxfId="438">
      <formula>COLUMN(N9)&gt;COLUMN($AF$12)</formula>
    </cfRule>
    <cfRule type="expression" priority="39" aboveAverage="0" equalAverage="0" bottom="0" percent="0" rank="0" text="" dxfId="439">
      <formula>$N$9="DIGITE A DATA DA MEDIÇÃO"</formula>
    </cfRule>
  </conditionalFormatting>
  <conditionalFormatting sqref="I9:M9 U9:AF9">
    <cfRule type="expression" priority="40" aboveAverage="0" equalAverage="0" bottom="0" percent="0" rank="0" text="" dxfId="440">
      <formula>COLUMN(I9)&gt;COLUMN($AF$12)</formula>
    </cfRule>
  </conditionalFormatting>
  <conditionalFormatting sqref="H1:AF1">
    <cfRule type="expression" priority="41" aboveAverage="0" equalAverage="0" bottom="0" percent="0" rank="0" text="" dxfId="441">
      <formula>IF(OR(ACOMPANHAMENTO="BM",TIPOORCAMENTO="Proposto",H$12&gt;CÁLCULO.NúmeroDeFrentes),1,PLE.ValorDoEvento=0)</formula>
    </cfRule>
    <cfRule type="cellIs" priority="42" operator="equal" aboveAverage="0" equalAverage="0" bottom="0" percent="0" rank="0" text="" dxfId="442">
      <formula>$J$9</formula>
    </cfRule>
  </conditionalFormatting>
  <conditionalFormatting sqref="J75 L75 N75 P75 R75 T75 V75 X75 Z75 AB75 AD75 AF75">
    <cfRule type="expression" priority="43" aboveAverage="0" equalAverage="0" bottom="0" percent="0" rank="0" text="" dxfId="443">
      <formula>J70=$J$9</formula>
    </cfRule>
  </conditionalFormatting>
  <dataValidations count="3">
    <dataValidation allowBlank="true" errorStyle="stop" operator="greaterThan" showDropDown="false" showErrorMessage="true" showInputMessage="false" sqref="F1:F4 I3:AC4 J9:K9 F16:F64" type="whole">
      <formula1>0</formula1>
      <formula2>0</formula2>
    </dataValidation>
    <dataValidation allowBlank="true" errorStyle="stop" operator="between" prompt="Digite a data de medição abaixo dos eventos." showDropDown="false" showErrorMessage="true" showInputMessage="true" sqref="N9:T9" type="none">
      <formula1>0</formula1>
      <formula2>0</formula2>
    </dataValidation>
    <dataValidation allowBlank="true" error="Preencha somente com o número da medição atual." errorStyle="stop" errorTitle="Errp de entrada" operator="equal" showDropDown="false" showErrorMessage="true" showInputMessage="false" sqref="H1:AF1 H16:AF64" type="whole">
      <formula1>PLE.Medicao</formula1>
      <formula2>0</formula2>
    </dataValidation>
  </dataValidations>
  <printOptions headings="false" gridLines="false" gridLinesSet="true" horizontalCentered="true" verticalCentered="false"/>
  <pageMargins left="0.7875" right="0.7875" top="0.786805555555556" bottom="0.786805555555556" header="0.590277777777778" footer="0.590277777777778"/>
  <pageSetup paperSize="9" scale="69" fitToWidth="1" fitToHeight="1" pageOrder="downThenOver" orientation="landscape" blackAndWhite="false" draft="false" cellComments="none" horizontalDpi="300" verticalDpi="300" copies="1"/>
  <headerFooter differentFirst="false" differentOddEven="false">
    <oddHeader>&amp;C&amp;14I</oddHeader>
    <oddFooter>&amp;LPMv3.16&amp;R&amp;P / &amp;N</odd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O74"/>
  <sheetViews>
    <sheetView showFormulas="false" showGridLines="false" showRowColHeaders="true" showZeros="true" rightToLeft="false" tabSelected="false" showOutlineSymbols="true" defaultGridColor="true" view="pageBreakPreview" topLeftCell="A1" colorId="64" zoomScale="90" zoomScaleNormal="100" zoomScalePageLayoutView="90" workbookViewId="0">
      <pane xSplit="7" ySplit="15" topLeftCell="H16" activePane="bottomRight" state="frozen"/>
      <selection pane="topLeft" activeCell="A1" activeCellId="0" sqref="A1"/>
      <selection pane="topRight" activeCell="H1" activeCellId="0" sqref="H1"/>
      <selection pane="bottomLeft" activeCell="A16" activeCellId="0" sqref="A16"/>
      <selection pane="bottomRight" activeCell="A1" activeCellId="0" sqref="A1"/>
    </sheetView>
  </sheetViews>
  <sheetFormatPr defaultColWidth="8.6796875" defaultRowHeight="12.75" customHeight="false" zeroHeight="false" outlineLevelRow="0" outlineLevelCol="0"/>
  <cols>
    <col collapsed="false" customWidth="true" hidden="true" outlineLevel="0" max="2" min="1" style="0" width="6.57"/>
    <col collapsed="false" customWidth="true" hidden="false" outlineLevel="0" max="3" min="3" style="0" width="3.57"/>
    <col collapsed="false" customWidth="true" hidden="false" outlineLevel="0" max="4" min="4" style="0" width="10.57"/>
    <col collapsed="false" customWidth="true" hidden="false" outlineLevel="0" max="5" min="5" style="0" width="65.57"/>
    <col collapsed="false" customWidth="true" hidden="false" outlineLevel="0" max="6" min="6" style="0" width="7.57"/>
    <col collapsed="false" customWidth="true" hidden="false" outlineLevel="0" max="7" min="7" style="0" width="11.57"/>
    <col collapsed="false" customWidth="true" hidden="false" outlineLevel="0" max="8" min="8" style="0" width="14.57"/>
    <col collapsed="false" customWidth="true" hidden="false" outlineLevel="0" max="9" min="9" style="0" width="18.57"/>
    <col collapsed="false" customWidth="true" hidden="false" outlineLevel="0" max="12" min="10" style="0" width="11.57"/>
    <col collapsed="false" customWidth="true" hidden="false" outlineLevel="0" max="15" min="13" style="0" width="18.57"/>
    <col collapsed="false" customWidth="true" hidden="true" outlineLevel="0" max="18" min="17" style="0" width="11.57"/>
    <col collapsed="false" customWidth="true" hidden="true" outlineLevel="0" max="19" min="19" style="0" width="9.14"/>
    <col collapsed="false" customWidth="true" hidden="true" outlineLevel="0" max="20" min="20" style="0" width="10.57"/>
    <col collapsed="false" customWidth="true" hidden="true" outlineLevel="0" max="21" min="21" style="0" width="65.57"/>
    <col collapsed="false" customWidth="true" hidden="true" outlineLevel="0" max="22" min="22" style="0" width="7.57"/>
    <col collapsed="false" customWidth="true" hidden="true" outlineLevel="0" max="23" min="23" style="0" width="11.57"/>
    <col collapsed="false" customWidth="true" hidden="true" outlineLevel="0" max="24" min="24" style="0" width="14.57"/>
    <col collapsed="false" customWidth="true" hidden="true" outlineLevel="0" max="25" min="25" style="0" width="18.57"/>
    <col collapsed="false" customWidth="true" hidden="true" outlineLevel="0" max="26" min="26" style="0" width="25.57"/>
    <col collapsed="false" customWidth="true" hidden="true" outlineLevel="0" max="27" min="27" style="0" width="9.14"/>
    <col collapsed="false" customWidth="true" hidden="false" outlineLevel="0" max="39" min="28" style="0" width="11.57"/>
    <col collapsed="false" customWidth="true" hidden="false" outlineLevel="0" max="40" min="40" style="0" width="10.42"/>
    <col collapsed="false" customWidth="true" hidden="true" outlineLevel="0" max="41" min="41" style="0" width="9.14"/>
  </cols>
  <sheetData>
    <row r="1" customFormat="false" ht="15" hidden="false" customHeight="false" outlineLevel="0" collapsed="false">
      <c r="E1" s="613" t="str">
        <f aca="false">IF(CAIXA.Modo,"BA - Boletim de Aferição","BM - Boletim de Medição")</f>
        <v>BM - Boletim de Medição</v>
      </c>
      <c r="G1" s="614"/>
      <c r="J1" s="614"/>
      <c r="K1" s="614"/>
      <c r="L1" s="614"/>
      <c r="M1" s="614"/>
      <c r="N1" s="614"/>
      <c r="O1" s="98" t="s">
        <v>704</v>
      </c>
    </row>
    <row r="2" customFormat="false" ht="15" hidden="false" customHeight="false" outlineLevel="0" collapsed="false">
      <c r="A2" s="31" t="s">
        <v>990</v>
      </c>
      <c r="B2" s="33"/>
      <c r="E2" s="615" t="str">
        <f aca="true" t="array" ref="E2:E2">IF(Import.RegimeExecução="(SELECIONAR)","Selecione o Regime de Execução na Aba Dados",Import.RegimeExecução&amp;" - "&amp;import.recurso)</f>
        <v>Selecione o Regime de Execução na Aba Dados</v>
      </c>
      <c r="O2" s="58" t="s">
        <v>707</v>
      </c>
    </row>
    <row r="3" customFormat="false" ht="12.75" hidden="false" customHeight="false" outlineLevel="0" collapsed="false">
      <c r="A3" s="616" t="b">
        <f aca="false">FALSE()</f>
        <v>0</v>
      </c>
      <c r="B3" s="616"/>
      <c r="E3" s="15"/>
    </row>
    <row r="4" customFormat="false" ht="12.75" hidden="false" customHeight="false" outlineLevel="0" collapsed="false">
      <c r="D4" s="101" t="s">
        <v>712</v>
      </c>
      <c r="E4" s="101"/>
      <c r="F4" s="172" t="s">
        <v>710</v>
      </c>
      <c r="G4" s="172"/>
      <c r="H4" s="172"/>
      <c r="I4" s="314" t="s">
        <v>774</v>
      </c>
      <c r="J4" s="101" t="s">
        <v>775</v>
      </c>
      <c r="K4" s="101"/>
      <c r="L4" s="101"/>
      <c r="M4" s="101"/>
      <c r="N4" s="101"/>
      <c r="O4" s="316" t="s">
        <v>991</v>
      </c>
    </row>
    <row r="5" customFormat="false" ht="12.75" hidden="false" customHeight="true" outlineLevel="0" collapsed="false">
      <c r="A5" s="0" t="s">
        <v>992</v>
      </c>
      <c r="D5" s="102" t="str">
        <f aca="false">Import.Proponente</f>
        <v>PREFEITURA MUNICIPAL DE TRAMANDAI</v>
      </c>
      <c r="E5" s="102"/>
      <c r="F5" s="181" t="n">
        <f aca="false">Import.CR</f>
        <v>0</v>
      </c>
      <c r="G5" s="181"/>
      <c r="H5" s="181"/>
      <c r="I5" s="617" t="n">
        <f aca="false">Import.TransfereGOV</f>
        <v>0</v>
      </c>
      <c r="J5" s="102" t="str">
        <f aca="false">Import.Apelido</f>
        <v>REVITALAIZAÇÃO DA ORLA DA BEIRA RIO</v>
      </c>
      <c r="K5" s="102"/>
      <c r="L5" s="102"/>
      <c r="M5" s="102"/>
      <c r="N5" s="102"/>
      <c r="O5" s="618" t="n">
        <f aca="false">Import.DataInicioObra</f>
        <v>0</v>
      </c>
      <c r="AO5" s="159" t="s">
        <v>993</v>
      </c>
    </row>
    <row r="6" customFormat="false" ht="4.5" hidden="false" customHeight="true" outlineLevel="0" collapsed="false">
      <c r="D6" s="167"/>
      <c r="E6" s="168"/>
      <c r="F6" s="167"/>
      <c r="G6" s="167"/>
      <c r="H6" s="167"/>
      <c r="I6" s="167"/>
      <c r="J6" s="167"/>
      <c r="K6" s="167"/>
      <c r="L6" s="167"/>
      <c r="M6" s="167"/>
      <c r="N6" s="167"/>
      <c r="O6" s="167"/>
      <c r="AO6" s="619"/>
    </row>
    <row r="7" customFormat="false" ht="12.75" hidden="false" customHeight="true" outlineLevel="0" collapsed="false">
      <c r="A7" s="0" t="str">
        <f aca="true" t="array" ref="A7:A7">RegimeExecucao</f>
        <v>Unitário</v>
      </c>
      <c r="D7" s="161" t="s">
        <v>994</v>
      </c>
      <c r="E7" s="161" t="s">
        <v>995</v>
      </c>
      <c r="F7" s="101" t="s">
        <v>996</v>
      </c>
      <c r="G7" s="101"/>
      <c r="H7" s="101"/>
      <c r="I7" s="101" t="str">
        <f aca="false" t="array" ref="I7:I7">IF(TIPOORCAMENTO="Licitado","REGIME DE EXECUÇÃO","MUNICÍPIO / UF")</f>
        <v>MUNICÍPIO / UF</v>
      </c>
      <c r="J7" s="101"/>
      <c r="K7" s="101"/>
      <c r="L7" s="101"/>
      <c r="M7" s="101" t="s">
        <v>997</v>
      </c>
      <c r="N7" s="101"/>
      <c r="O7" s="161" t="s">
        <v>998</v>
      </c>
      <c r="AO7" s="524" t="n">
        <f aca="true" t="array" ref="AO7:AO7">BM.MEDAcumulado</f>
        <v>0</v>
      </c>
    </row>
    <row r="8" customFormat="false" ht="12.75" hidden="false" customHeight="true" outlineLevel="0" collapsed="false">
      <c r="A8" s="31" t="s">
        <v>999</v>
      </c>
      <c r="B8" s="33"/>
      <c r="C8" s="103" t="s">
        <v>715</v>
      </c>
      <c r="D8" s="620" t="n">
        <f aca="false">Import.CTEF</f>
        <v>0</v>
      </c>
      <c r="E8" s="102" t="n">
        <f aca="false">Import.empresa</f>
        <v>0</v>
      </c>
      <c r="F8" s="102" t="n">
        <f aca="false">Import.CNPJ</f>
        <v>0</v>
      </c>
      <c r="G8" s="102"/>
      <c r="H8" s="102"/>
      <c r="I8" s="102" t="str">
        <f aca="true" t="array" ref="I8:I8">IF(TIPOORCAMENTO="Licitado",Import.RegimeExecução,Import.Município)</f>
        <v>TRAMANDAI/RS</v>
      </c>
      <c r="J8" s="102"/>
      <c r="K8" s="102"/>
      <c r="L8" s="102"/>
      <c r="M8" s="102" t="str">
        <f aca="true" t="array" ref="M8:M8">TEXT(IF(BM.medicao=1,Import.DataInicioObra,OFFSET($AB$12,0,BM.medicao-1-$AB$13)+1),"dd/mm/aaaa")&amp;" a "&amp;TEXT(OFFSET($AB$12,0,BM.medicao-$AB$13),"dd/mm/aaaa")</f>
        <v>30/12/1899 a 30/12/1899</v>
      </c>
      <c r="N8" s="102"/>
      <c r="O8" s="621" t="n">
        <v>1</v>
      </c>
    </row>
    <row r="9" customFormat="false" ht="12.75" hidden="false" customHeight="true" outlineLevel="0" collapsed="false">
      <c r="A9" s="622" t="b">
        <f aca="false">TRUE()</f>
        <v>1</v>
      </c>
      <c r="B9" s="8"/>
      <c r="C9" s="103"/>
    </row>
    <row r="10" customFormat="false" ht="12.75" hidden="false" customHeight="true" outlineLevel="0" collapsed="false">
      <c r="A10" s="31" t="s">
        <v>1000</v>
      </c>
      <c r="B10" s="33"/>
      <c r="C10" s="103"/>
      <c r="E10" s="623"/>
      <c r="F10" s="624" t="str">
        <f aca="true" t="array" ref="F10:F10">IF(ACOMPANHAMENTO="PLE","Foi selecionado na aba 'MENU' o acompanhamento por PLE.",
  IF(TIPOORCAMENTO="Proposto","Altere na aba 'MENU' o tipo de orçamento para 'Licitado'.",
  IF(Import.RegimeExecução="(SELECIONAR)",UPPER($E$2),
  IF(AND(BM.medicao=1,DADOS!$C$47=0),"PREENCHER A DATA DE INÍCIO DA OBRA, NA ABA DADOS",
  IF($N$15=0,"PREENCHER A MEDIÇÃO "&amp;BM.medicao,
  IF($AB$10&lt;&gt;"",UPPER($AB$10),
  IF($J$69&lt;&gt;"",UPPER($J$69),
 "")))))))</f>
        <v>Altere na aba 'MENU' o tipo de orçamento para 'Licitado'.</v>
      </c>
      <c r="G10" s="624"/>
      <c r="H10" s="624"/>
      <c r="I10" s="624"/>
      <c r="O10" s="625" t="str">
        <f aca="false">"Realizado Acumulado: "&amp;TEXT(P10,"0,00%")</f>
        <v>Realizado Acumulado: 0,00%</v>
      </c>
      <c r="P10" s="626" t="n">
        <f aca="false">ROUND($O$15/($I$15+10^-12),4)</f>
        <v>0</v>
      </c>
      <c r="AB10" s="109" t="str">
        <f aca="false">IF(INDEX($AB$12:$AN$12,MATCH($O$8,$AB$13:$AN$13,0))=0,"Preencher a data da medição "&amp;$O$8,"")</f>
        <v>Preencher a data da medição 1</v>
      </c>
    </row>
    <row r="11" customFormat="false" ht="15" hidden="false" customHeight="true" outlineLevel="0" collapsed="false">
      <c r="A11" s="627" t="n">
        <f aca="true">OFFSET(CRONO!$F$13,CRONO!$F$61,0)</f>
        <v>2</v>
      </c>
      <c r="B11" s="2"/>
      <c r="C11" s="103"/>
      <c r="E11" s="623"/>
      <c r="F11" s="624"/>
      <c r="G11" s="624"/>
      <c r="H11" s="624"/>
      <c r="I11" s="624"/>
      <c r="N11" s="628"/>
      <c r="O11" s="625" t="str">
        <f aca="false">IF(ISERROR(P11),"","Administração Local Acumulada: "&amp;TEXT(P11,"0,00%"))</f>
        <v/>
      </c>
      <c r="P11" s="626" t="e">
        <f aca="true">OFFSET($O$15,$A$11,0)/OFFSET($I$15,$A$11,0)</f>
        <v>#DIV/0!</v>
      </c>
      <c r="T11" s="629" t="s">
        <v>1001</v>
      </c>
      <c r="U11" s="629"/>
      <c r="Z11" s="8"/>
      <c r="AB11" s="597" t="s">
        <v>1002</v>
      </c>
      <c r="AC11" s="597"/>
      <c r="AD11" s="597"/>
      <c r="AE11" s="597"/>
      <c r="AF11" s="597"/>
      <c r="AG11" s="597"/>
      <c r="AH11" s="597"/>
      <c r="AI11" s="597"/>
      <c r="AJ11" s="597"/>
      <c r="AK11" s="597"/>
      <c r="AL11" s="597"/>
      <c r="AM11" s="597"/>
    </row>
    <row r="12" customFormat="false" ht="15" hidden="false" customHeight="true" outlineLevel="0" collapsed="false">
      <c r="C12" s="103"/>
      <c r="E12" s="60" t="s">
        <v>1003</v>
      </c>
      <c r="J12" s="58" t="str">
        <f aca="true" t="array" ref="J12:J12">"Evolução Física "&amp;CHOOSE(MATCH(RegimeExecucao,{"Unitário","Global"},0),"(Qtde.)","(%)")</f>
        <v>Evolução Física (Qtde.)</v>
      </c>
      <c r="K12" s="58"/>
      <c r="L12" s="58"/>
      <c r="M12" s="58" t="s">
        <v>1004</v>
      </c>
      <c r="N12" s="58"/>
      <c r="O12" s="58"/>
      <c r="Q12" s="58" t="str">
        <f aca="true" t="array" ref="Q12:Q12">"Aferido (CAIXA) "&amp;CHOOSE(MATCH(RegimeExecucao,{"Unitário","Global"},0),"(Qtde.)","(%)")</f>
        <v>Aferido (CAIXA) (Qtde.)</v>
      </c>
      <c r="R12" s="58"/>
      <c r="T12" s="630" t="s">
        <v>1005</v>
      </c>
      <c r="U12" s="46"/>
      <c r="V12" s="46"/>
      <c r="W12" s="46"/>
      <c r="X12" s="46"/>
      <c r="Y12" s="46"/>
      <c r="Z12" s="2"/>
      <c r="AB12" s="631"/>
      <c r="AC12" s="632"/>
      <c r="AD12" s="632"/>
      <c r="AE12" s="632"/>
      <c r="AF12" s="632"/>
      <c r="AG12" s="632"/>
      <c r="AH12" s="632"/>
      <c r="AI12" s="632"/>
      <c r="AJ12" s="632"/>
      <c r="AK12" s="632"/>
      <c r="AL12" s="632"/>
      <c r="AM12" s="633"/>
    </row>
    <row r="13" customFormat="false" ht="45" hidden="false" customHeight="true" outlineLevel="0" collapsed="false">
      <c r="A13" s="194" t="s">
        <v>798</v>
      </c>
      <c r="B13" s="194" t="s">
        <v>797</v>
      </c>
      <c r="C13" s="110" t="s">
        <v>720</v>
      </c>
      <c r="D13" s="202" t="s">
        <v>807</v>
      </c>
      <c r="E13" s="202" t="s">
        <v>161</v>
      </c>
      <c r="F13" s="634" t="s">
        <v>810</v>
      </c>
      <c r="G13" s="202" t="s">
        <v>781</v>
      </c>
      <c r="H13" s="202" t="s">
        <v>811</v>
      </c>
      <c r="I13" s="202" t="s">
        <v>812</v>
      </c>
      <c r="J13" s="202" t="s">
        <v>1006</v>
      </c>
      <c r="K13" s="202" t="s">
        <v>1007</v>
      </c>
      <c r="L13" s="202" t="s">
        <v>1008</v>
      </c>
      <c r="M13" s="202" t="s">
        <v>1006</v>
      </c>
      <c r="N13" s="202" t="s">
        <v>1007</v>
      </c>
      <c r="O13" s="202" t="s">
        <v>1008</v>
      </c>
      <c r="Q13" s="202" t="s">
        <v>1006</v>
      </c>
      <c r="R13" s="202" t="s">
        <v>1008</v>
      </c>
      <c r="T13" s="202" t="s">
        <v>807</v>
      </c>
      <c r="U13" s="202" t="s">
        <v>161</v>
      </c>
      <c r="V13" s="634" t="str">
        <f aca="true" t="array" ref="V13:V13">IF(RegimeExecucao="Unitário","Unidade","")</f>
        <v>Unidade</v>
      </c>
      <c r="W13" s="202" t="str">
        <f aca="true" t="array" ref="W13:W13">CHOOSE(MATCH(RegimeExecucao,{"Unitário","Global"},0),"Quant. Glosada (unid)","Percentual Glosado (%)")</f>
        <v>Quant. Glosada (unid)</v>
      </c>
      <c r="X13" s="202" t="str">
        <f aca="true" t="array" ref="X13:X13">CHOOSE(MATCH(RegimeExecucao,{"Unitário","Global"},0),"Preço Unitário (R$)","Valor Total do Item (R$)")</f>
        <v>Preço Unitário (R$)</v>
      </c>
      <c r="Y13" s="202" t="s">
        <v>1009</v>
      </c>
      <c r="Z13" s="202" t="s">
        <v>1010</v>
      </c>
      <c r="AA13" s="199"/>
      <c r="AB13" s="635" t="n">
        <f aca="true" t="array" ref="AB13:AB13">IF(BM.medicao&lt;=12,1,TRUNC((BM.medicao - 2)/11,0) * 11 + 1)</f>
        <v>1</v>
      </c>
      <c r="AC13" s="635" t="n">
        <f aca="true">OFFSET(AC13,0,-1)+1</f>
        <v>2</v>
      </c>
      <c r="AD13" s="635" t="n">
        <f aca="true">OFFSET(AD13,0,-1)+1</f>
        <v>3</v>
      </c>
      <c r="AE13" s="635" t="n">
        <f aca="true">OFFSET(AE13,0,-1)+1</f>
        <v>4</v>
      </c>
      <c r="AF13" s="635" t="n">
        <f aca="true">OFFSET(AF13,0,-1)+1</f>
        <v>5</v>
      </c>
      <c r="AG13" s="635" t="n">
        <f aca="true">OFFSET(AG13,0,-1)+1</f>
        <v>6</v>
      </c>
      <c r="AH13" s="635" t="n">
        <f aca="true">OFFSET(AH13,0,-1)+1</f>
        <v>7</v>
      </c>
      <c r="AI13" s="635" t="n">
        <f aca="true">OFFSET(AI13,0,-1)+1</f>
        <v>8</v>
      </c>
      <c r="AJ13" s="635" t="n">
        <f aca="true">OFFSET(AJ13,0,-1)+1</f>
        <v>9</v>
      </c>
      <c r="AK13" s="635" t="n">
        <f aca="true">OFFSET(AK13,0,-1)+1</f>
        <v>10</v>
      </c>
      <c r="AL13" s="635" t="n">
        <f aca="true">OFFSET(AL13,0,-1)+1</f>
        <v>11</v>
      </c>
      <c r="AM13" s="635" t="n">
        <f aca="true">OFFSET(AM13,0,-1)+1</f>
        <v>12</v>
      </c>
      <c r="AO13" s="194" t="s">
        <v>1011</v>
      </c>
    </row>
    <row r="14" customFormat="false" ht="12.75" hidden="true" customHeight="false" outlineLevel="0" collapsed="false">
      <c r="A14" s="0" t="str">
        <f aca="false">ORÇAMENTO!C14</f>
        <v>S</v>
      </c>
      <c r="B14" s="0" t="n">
        <f aca="false">ORÇAMENTO!D14</f>
        <v>0</v>
      </c>
      <c r="C14" s="204" t="str">
        <f aca="false">IF(OR($I14&gt;0,$A14=1,$A14=2,$A14=3,$A14=4),"F","")</f>
        <v/>
      </c>
      <c r="D14" s="207" t="str">
        <f aca="false">ORÇAMENTO!O14</f>
        <v>-</v>
      </c>
      <c r="E14" s="343" t="str">
        <f aca="false">ORÇAMENTO.Descricao</f>
        <v>(Sem Código)</v>
      </c>
      <c r="F14" s="344" t="str">
        <f aca="true" t="array" ref="F14:F14">IF(RegimeExecucao="Global","",ORÇAMENTO.Unidade)</f>
        <v>-</v>
      </c>
      <c r="G14" s="212" t="n">
        <f aca="true" t="array" ref="G14:G14">IF(RegimeExecucao="Global","",ORÇAMENTO!T14)</f>
        <v>0</v>
      </c>
      <c r="H14" s="212" t="n">
        <f aca="true" t="array" ref="H14:H14">IF(RegimeExecucao="Global","",ORÇAMENTO!W14)</f>
        <v>0</v>
      </c>
      <c r="I14" s="215" t="n">
        <f aca="false">ORÇAMENTO!X14</f>
        <v>0</v>
      </c>
      <c r="J14" s="636" t="n">
        <f aca="true" t="array" ref="J14:J14">IF($A14="S",IF(CAIXA.Modo,BM.AFAnterior,BM.MEDAnterior),IF(AND(RegimeExecucao="Global",$I14&gt;0,COUNTIF($AB$13:$AM$13,BM.medicao-1)&gt;0),M14/$I14*100,0))</f>
        <v>0</v>
      </c>
      <c r="K14" s="212" t="n">
        <f aca="false">L14-J14</f>
        <v>0</v>
      </c>
      <c r="L14" s="637" t="n">
        <f aca="true" t="array" ref="L14:L14">IF($A14="S",IF(CAIXA.Modo,BM.AFAcumulado,BM.MEDAcumulado),IF(AND(RegimeExecucao="Global",$I14&gt;0,COUNTIF($AB$13:$AM$13,BM.medicao)&gt;0),O14/$I14*100,0))</f>
        <v>0</v>
      </c>
      <c r="M14" s="638" t="n">
        <f aca="true" t="array" ref="M14:M14">IF($A14="S",VTOTALBM,IF($A14=0,0,ROUND(SomaAgrupBM,15-13*ORÇAMENTO!$AF$11)))</f>
        <v>0</v>
      </c>
      <c r="N14" s="224" t="n">
        <f aca="false">O14-M14</f>
        <v>0</v>
      </c>
      <c r="O14" s="215" t="n">
        <f aca="true" t="array" ref="O14:O14">IF($A14="S",VTOTALBM,IF($A14=0,0,ROUND(SomaAgrupBM,15-13*ORÇAMENTO!$AF$11)))</f>
        <v>0</v>
      </c>
      <c r="Q14" s="639"/>
      <c r="R14" s="640"/>
      <c r="T14" s="207" t="str">
        <f aca="false">IF($W14&gt;0,$D14,"")</f>
        <v/>
      </c>
      <c r="U14" s="343" t="str">
        <f aca="false">IF($W14&gt;0,$E14,"")</f>
        <v/>
      </c>
      <c r="V14" s="344" t="str">
        <f aca="true" t="array" ref="V14:V14">IF(AND($W14&gt;0,RegimeExecucao="Unitário"),$F14,"")</f>
        <v/>
      </c>
      <c r="W14" s="641" t="n">
        <f aca="true" t="array" ref="W14:W14">IF($Y14&gt;0,CHOOSE(MATCH(RegimeExecucao,{"Unitário","Global"},0),IF($A14="S",$Y14/$X14,""),($Y14/$X14)*100),0)</f>
        <v>0</v>
      </c>
      <c r="X14" s="642" t="str">
        <f aca="true" t="array" ref="X14:X14">IF($Y14&gt;0,CHOOSE(MATCH(RegimeExecucao,{"Unitário","Global"},0),IF($A14="S",ROUND($H14,ORÇAMENTO!$AF$10),""),ROUND($I14,ORÇAMENTO!$AF$11)),"")</f>
        <v/>
      </c>
      <c r="Y14" s="642" t="n">
        <f aca="false">AO14-O14</f>
        <v>0</v>
      </c>
      <c r="Z14" s="643"/>
      <c r="AB14" s="639"/>
      <c r="AC14" s="644"/>
      <c r="AD14" s="644"/>
      <c r="AE14" s="644"/>
      <c r="AF14" s="644"/>
      <c r="AG14" s="644"/>
      <c r="AH14" s="644"/>
      <c r="AI14" s="644"/>
      <c r="AJ14" s="644"/>
      <c r="AK14" s="644"/>
      <c r="AL14" s="644"/>
      <c r="AM14" s="640"/>
      <c r="AO14" s="0" t="n">
        <f aca="true" t="array" ref="AO14:AO14">IF($A14="S",IF(BM!$I14=0,0,CHOOSE(MATCH(RegimeExecucao,{"Global","Unitário"},0),ROUND(ROUND(BM.MEDAcumulado,15-13*BM!$A$9)/100*BM!$I14,15-13*ORÇAMENTO!$AF$11),ROUND(ROUND(BM.MEDAcumulado,15-13*BM!$A$9)*ROUND(BM!$H14,15-13*ORÇAMENTO!$AF$10),15-13*ORÇAMENTO!$AF$11))),IF($A14=0,0,ROUND(SomaAgrupBM,15-13*ORÇAMENTO!$AF$11)))</f>
        <v>0</v>
      </c>
    </row>
    <row r="15" customFormat="false" ht="12.75" hidden="false" customHeight="false" outlineLevel="0" collapsed="false">
      <c r="C15" s="204" t="s">
        <v>596</v>
      </c>
      <c r="D15" s="645" t="str">
        <f aca="false">"Objeto do CTEF: "&amp;Import.DescLote</f>
        <v>Objeto do CTEF: </v>
      </c>
      <c r="E15" s="645"/>
      <c r="F15" s="646"/>
      <c r="G15" s="647"/>
      <c r="H15" s="647" t="s">
        <v>1012</v>
      </c>
      <c r="I15" s="648" t="n">
        <f aca="false" t="array" ref="I15:I15">IF(OR(ACOMPANHAMENTO="PLE",TIPOORCAMENTO="Proposto"),0,ORÇAMENTO!$X$15)</f>
        <v>0</v>
      </c>
      <c r="J15" s="649" t="n">
        <f aca="true" t="array" ref="J15:J15">IF(M$15=0,0,IF(RegimeExecucao="Global",M$15/$I$15*100,0))</f>
        <v>0</v>
      </c>
      <c r="K15" s="649" t="n">
        <f aca="false">L15-J15</f>
        <v>0</v>
      </c>
      <c r="L15" s="649" t="n">
        <f aca="true" t="array" ref="L15:L15">IF(O$15=0,0,IF(RegimeExecucao="Global",O$15/$I$15*100,0))</f>
        <v>0</v>
      </c>
      <c r="M15" s="650" t="n">
        <f aca="true" t="array" ref="M15:M15">IF(OR(ACOMPANHAMENTO="PLE",TIPOORCAMENTO="Proposto"),0,SUMIF(OFFSET($A15,1,0):$A$59,"S",OFFSET(M15,1,0):M$59))</f>
        <v>0</v>
      </c>
      <c r="N15" s="650" t="n">
        <f aca="false">O15-M15</f>
        <v>0</v>
      </c>
      <c r="O15" s="650" t="n">
        <f aca="true" t="array" ref="O15:O15">IF(OR(ACOMPANHAMENTO="PLE",TIPOORCAMENTO="Proposto"),0,SUMIF(OFFSET($A15,1,0):$A$59,"S",OFFSET(O15,1,0):O$59))</f>
        <v>0</v>
      </c>
      <c r="Q15" s="651"/>
      <c r="R15" s="651"/>
      <c r="T15" s="652"/>
      <c r="U15" s="653"/>
      <c r="V15" s="653"/>
      <c r="W15" s="653"/>
      <c r="X15" s="653"/>
      <c r="Y15" s="653"/>
      <c r="Z15" s="654"/>
      <c r="AB15" s="655" t="str">
        <f aca="true" t="array" ref="AB15:AB15">"Preencher abaixo com a "&amp;CHOOSE(MATCH(RegimeExecucao,{"Unitário","Global"},0),"QUANTIDADE","PORCENTAGEM")&amp;" executada no PERÍODO"</f>
        <v>Preencher abaixo com a QUANTIDADE executada no PERÍODO</v>
      </c>
      <c r="AC15" s="655"/>
      <c r="AD15" s="655"/>
      <c r="AE15" s="655"/>
      <c r="AF15" s="655"/>
      <c r="AG15" s="655"/>
      <c r="AH15" s="655"/>
      <c r="AI15" s="655"/>
      <c r="AJ15" s="655"/>
      <c r="AK15" s="655"/>
      <c r="AL15" s="655"/>
      <c r="AM15" s="655"/>
    </row>
    <row r="16" customFormat="false" ht="12.75" hidden="false" customHeight="false" outlineLevel="0" collapsed="false">
      <c r="A16" s="0" t="n">
        <f aca="false">ORÇAMENTO!C16</f>
        <v>1</v>
      </c>
      <c r="B16" s="0" t="n">
        <f aca="false">ORÇAMENTO!D16</f>
        <v>43</v>
      </c>
      <c r="C16" s="204" t="str">
        <f aca="false">IF(OR($I16&gt;0,$A16=1,$A16=2,$A16=3,$A16=4),"F","")</f>
        <v>F</v>
      </c>
      <c r="D16" s="207" t="str">
        <f aca="false">ORÇAMENTO!O16</f>
        <v>1.</v>
      </c>
      <c r="E16" s="343" t="str">
        <f aca="false">ORÇAMENTO.Descricao</f>
        <v>REVITALIZAÇÃO DA ORLA DA BEIRA RIO </v>
      </c>
      <c r="F16" s="344" t="str">
        <f aca="true" t="array" ref="F16:F16">IF(RegimeExecucao="Global","",ORÇAMENTO.Unidade)</f>
        <v>-</v>
      </c>
      <c r="G16" s="212" t="n">
        <f aca="true" t="array" ref="G16:G16">IF(RegimeExecucao="Global","",ORÇAMENTO!T16)</f>
        <v>0</v>
      </c>
      <c r="H16" s="212" t="n">
        <f aca="true" t="array" ref="H16:H16">IF(RegimeExecucao="Global","",ORÇAMENTO!W16)</f>
        <v>0</v>
      </c>
      <c r="I16" s="215" t="n">
        <f aca="false">ORÇAMENTO!X16</f>
        <v>0</v>
      </c>
      <c r="J16" s="636" t="n">
        <f aca="true" t="array" ref="J16:J16">IF($A16="S",IF(CAIXA.Modo,BM.AFAnterior,BM.MEDAnterior),IF(AND(RegimeExecucao="Global",$I16&gt;0,COUNTIF($AB$13:$AM$13,BM.medicao-1)&gt;0),M16/$I16*100,0))</f>
        <v>0</v>
      </c>
      <c r="K16" s="212" t="n">
        <f aca="false">L16-J16</f>
        <v>0</v>
      </c>
      <c r="L16" s="637" t="n">
        <f aca="true" t="array" ref="L16:L16">IF($A16="S",IF(CAIXA.Modo,BM.AFAcumulado,BM.MEDAcumulado),IF(AND(RegimeExecucao="Global",$I16&gt;0,COUNTIF($AB$13:$AM$13,BM.medicao)&gt;0),O16/$I16*100,0))</f>
        <v>0</v>
      </c>
      <c r="M16" s="638" t="n">
        <f aca="true" t="array" ref="M16:M16">IF($A16="S",VTOTALBM,IF($A16=0,0,ROUND(SomaAgrupBM,15-13*ORÇAMENTO!$AF$11)))</f>
        <v>0</v>
      </c>
      <c r="N16" s="224" t="n">
        <f aca="false">O16-M16</f>
        <v>0</v>
      </c>
      <c r="O16" s="215" t="n">
        <f aca="true" t="array" ref="O16:O16">IF($A16="S",VTOTALBM,IF($A16=0,0,ROUND(SomaAgrupBM,15-13*ORÇAMENTO!$AF$11)))</f>
        <v>0</v>
      </c>
      <c r="Q16" s="639"/>
      <c r="R16" s="640"/>
      <c r="T16" s="207" t="str">
        <f aca="false">IF($W16&gt;0,$D16,"")</f>
        <v/>
      </c>
      <c r="U16" s="343" t="str">
        <f aca="false">IF($W16&gt;0,$E16,"")</f>
        <v/>
      </c>
      <c r="V16" s="344" t="str">
        <f aca="true" t="array" ref="V16:V16">IF(AND($W16&gt;0,RegimeExecucao="Unitário"),$F16,"")</f>
        <v/>
      </c>
      <c r="W16" s="641" t="n">
        <f aca="true" t="array" ref="W16:W16">IF($Y16&gt;0,CHOOSE(MATCH(RegimeExecucao,{"Unitário","Global"},0),IF($A16="S",$Y16/$X16,""),($Y16/$X16)*100),0)</f>
        <v>0</v>
      </c>
      <c r="X16" s="642" t="str">
        <f aca="true" t="array" ref="X16:X16">IF($Y16&gt;0,CHOOSE(MATCH(RegimeExecucao,{"Unitário","Global"},0),IF($A16="S",ROUND($H16,ORÇAMENTO!$AF$10),""),ROUND($I16,ORÇAMENTO!$AF$11)),"")</f>
        <v/>
      </c>
      <c r="Y16" s="642" t="n">
        <f aca="false">AO16-O16</f>
        <v>0</v>
      </c>
      <c r="Z16" s="643"/>
      <c r="AB16" s="639"/>
      <c r="AC16" s="644"/>
      <c r="AD16" s="644"/>
      <c r="AE16" s="644"/>
      <c r="AF16" s="644"/>
      <c r="AG16" s="644"/>
      <c r="AH16" s="644"/>
      <c r="AI16" s="644"/>
      <c r="AJ16" s="644"/>
      <c r="AK16" s="644"/>
      <c r="AL16" s="644"/>
      <c r="AM16" s="640"/>
      <c r="AO16" s="0" t="n">
        <f aca="true" t="array" ref="AO16:AO16">IF($A16="S",IF(BM!$I16=0,0,CHOOSE(MATCH(RegimeExecucao,{"Global","Unitário"},0),ROUND(ROUND(BM.MEDAcumulado,15-13*BM!$A$9)/100*BM!$I16,15-13*ORÇAMENTO!$AF$11),ROUND(ROUND(BM.MEDAcumulado,15-13*BM!$A$9)*ROUND(BM!$H16,15-13*ORÇAMENTO!$AF$10),15-13*ORÇAMENTO!$AF$11))),IF($A16=0,0,ROUND(SomaAgrupBM,15-13*ORÇAMENTO!$AF$11)))</f>
        <v>0</v>
      </c>
    </row>
    <row r="17" customFormat="false" ht="12.75" hidden="false" customHeight="false" outlineLevel="0" collapsed="false">
      <c r="A17" s="0" t="n">
        <f aca="false">ORÇAMENTO!C17</f>
        <v>2</v>
      </c>
      <c r="B17" s="0" t="n">
        <f aca="false">ORÇAMENTO!D17</f>
        <v>2</v>
      </c>
      <c r="C17" s="204" t="str">
        <f aca="false">IF(OR($I17&gt;0,$A17=1,$A17=2,$A17=3,$A17=4),"F","")</f>
        <v>F</v>
      </c>
      <c r="D17" s="207" t="str">
        <f aca="false">ORÇAMENTO!O17</f>
        <v>1.1.</v>
      </c>
      <c r="E17" s="343" t="str">
        <f aca="false">ORÇAMENTO.Descricao</f>
        <v>ADMINISTRAÇÃO DA OBRA</v>
      </c>
      <c r="F17" s="344" t="str">
        <f aca="true" t="array" ref="F17:F17">IF(RegimeExecucao="Global","",ORÇAMENTO.Unidade)</f>
        <v>-</v>
      </c>
      <c r="G17" s="212" t="n">
        <f aca="true" t="array" ref="G17:G17">IF(RegimeExecucao="Global","",ORÇAMENTO!T17)</f>
        <v>0</v>
      </c>
      <c r="H17" s="212" t="n">
        <f aca="true" t="array" ref="H17:H17">IF(RegimeExecucao="Global","",ORÇAMENTO!W17)</f>
        <v>0</v>
      </c>
      <c r="I17" s="215" t="n">
        <f aca="false">ORÇAMENTO!X17</f>
        <v>0</v>
      </c>
      <c r="J17" s="636" t="n">
        <f aca="true" t="array" ref="J17:J17">IF($A17="S",IF(CAIXA.Modo,BM.AFAnterior,BM.MEDAnterior),IF(AND(RegimeExecucao="Global",$I17&gt;0,COUNTIF($AB$13:$AM$13,BM.medicao-1)&gt;0),M17/$I17*100,0))</f>
        <v>0</v>
      </c>
      <c r="K17" s="212" t="n">
        <f aca="false">L17-J17</f>
        <v>0</v>
      </c>
      <c r="L17" s="637" t="n">
        <f aca="true" t="array" ref="L17:L17">IF($A17="S",IF(CAIXA.Modo,BM.AFAcumulado,BM.MEDAcumulado),IF(AND(RegimeExecucao="Global",$I17&gt;0,COUNTIF($AB$13:$AM$13,BM.medicao)&gt;0),O17/$I17*100,0))</f>
        <v>0</v>
      </c>
      <c r="M17" s="638" t="n">
        <f aca="true" t="array" ref="M17:M17">IF($A17="S",VTOTALBM,IF($A17=0,0,ROUND(SomaAgrupBM,15-13*ORÇAMENTO!$AF$11)))</f>
        <v>0</v>
      </c>
      <c r="N17" s="224" t="n">
        <f aca="false">O17-M17</f>
        <v>0</v>
      </c>
      <c r="O17" s="215" t="n">
        <f aca="true" t="array" ref="O17:O17">IF($A17="S",VTOTALBM,IF($A17=0,0,ROUND(SomaAgrupBM,15-13*ORÇAMENTO!$AF$11)))</f>
        <v>0</v>
      </c>
      <c r="Q17" s="639"/>
      <c r="R17" s="640"/>
      <c r="T17" s="207" t="str">
        <f aca="false">IF($W17&gt;0,$D17,"")</f>
        <v/>
      </c>
      <c r="U17" s="343" t="str">
        <f aca="false">IF($W17&gt;0,$E17,"")</f>
        <v/>
      </c>
      <c r="V17" s="344" t="str">
        <f aca="true" t="array" ref="V17:V17">IF(AND($W17&gt;0,RegimeExecucao="Unitário"),$F17,"")</f>
        <v/>
      </c>
      <c r="W17" s="641" t="n">
        <f aca="true" t="array" ref="W17:W17">IF($Y17&gt;0,CHOOSE(MATCH(RegimeExecucao,{"Unitário","Global"},0),IF($A17="S",$Y17/$X17,""),($Y17/$X17)*100),0)</f>
        <v>0</v>
      </c>
      <c r="X17" s="642" t="str">
        <f aca="true" t="array" ref="X17:X17">IF($Y17&gt;0,CHOOSE(MATCH(RegimeExecucao,{"Unitário","Global"},0),IF($A17="S",ROUND($H17,ORÇAMENTO!$AF$10),""),ROUND($I17,ORÇAMENTO!$AF$11)),"")</f>
        <v/>
      </c>
      <c r="Y17" s="642" t="n">
        <f aca="false">AO17-O17</f>
        <v>0</v>
      </c>
      <c r="Z17" s="643"/>
      <c r="AB17" s="639"/>
      <c r="AC17" s="644"/>
      <c r="AD17" s="644"/>
      <c r="AE17" s="644"/>
      <c r="AF17" s="644"/>
      <c r="AG17" s="644"/>
      <c r="AH17" s="644"/>
      <c r="AI17" s="644"/>
      <c r="AJ17" s="644"/>
      <c r="AK17" s="644"/>
      <c r="AL17" s="644"/>
      <c r="AM17" s="640"/>
      <c r="AO17" s="0" t="n">
        <f aca="true" t="array" ref="AO17:AO17">IF($A17="S",IF(BM!$I17=0,0,CHOOSE(MATCH(RegimeExecucao,{"Global","Unitário"},0),ROUND(ROUND(BM.MEDAcumulado,15-13*BM!$A$9)/100*BM!$I17,15-13*ORÇAMENTO!$AF$11),ROUND(ROUND(BM.MEDAcumulado,15-13*BM!$A$9)*ROUND(BM!$H17,15-13*ORÇAMENTO!$AF$10),15-13*ORÇAMENTO!$AF$11))),IF($A17=0,0,ROUND(SomaAgrupBM,15-13*ORÇAMENTO!$AF$11)))</f>
        <v>0</v>
      </c>
    </row>
    <row r="18" customFormat="false" ht="12.75" hidden="false" customHeight="false" outlineLevel="0" collapsed="false">
      <c r="A18" s="0" t="str">
        <f aca="false">ORÇAMENTO!C18</f>
        <v>S</v>
      </c>
      <c r="B18" s="0" t="n">
        <f aca="false">ORÇAMENTO!D18</f>
        <v>0</v>
      </c>
      <c r="C18" s="204" t="str">
        <f aca="false">IF(OR($I18&gt;0,$A18=1,$A18=2,$A18=3,$A18=4),"F","")</f>
        <v/>
      </c>
      <c r="D18" s="207" t="str">
        <f aca="false">ORÇAMENTO!O18</f>
        <v>-</v>
      </c>
      <c r="E18" s="343" t="str">
        <f aca="false">ORÇAMENTO.Descricao</f>
        <v>(Código não identificado nas referências)</v>
      </c>
      <c r="F18" s="344" t="str">
        <f aca="true" t="array" ref="F18:F18">IF(RegimeExecucao="Global","",ORÇAMENTO.Unidade)</f>
        <v>-</v>
      </c>
      <c r="G18" s="212" t="n">
        <f aca="true" t="array" ref="G18:G18">IF(RegimeExecucao="Global","",ORÇAMENTO!T18)</f>
        <v>12</v>
      </c>
      <c r="H18" s="212" t="n">
        <f aca="true" t="array" ref="H18:H18">IF(RegimeExecucao="Global","",ORÇAMENTO!W18)</f>
        <v>0</v>
      </c>
      <c r="I18" s="215" t="n">
        <f aca="false">ORÇAMENTO!X18</f>
        <v>0</v>
      </c>
      <c r="J18" s="636" t="n">
        <f aca="true" t="array" ref="J18:J18">IF($A18="S",IF(CAIXA.Modo,BM.AFAnterior,BM.MEDAnterior),IF(AND(RegimeExecucao="Global",$I18&gt;0,COUNTIF($AB$13:$AM$13,BM.medicao-1)&gt;0),M18/$I18*100,0))</f>
        <v>0</v>
      </c>
      <c r="K18" s="212" t="n">
        <f aca="false">L18-J18</f>
        <v>0</v>
      </c>
      <c r="L18" s="637" t="n">
        <f aca="true" t="array" ref="L18:L18">IF($A18="S",IF(CAIXA.Modo,BM.AFAcumulado,BM.MEDAcumulado),IF(AND(RegimeExecucao="Global",$I18&gt;0,COUNTIF($AB$13:$AM$13,BM.medicao)&gt;0),O18/$I18*100,0))</f>
        <v>0</v>
      </c>
      <c r="M18" s="638" t="n">
        <f aca="true" t="array" ref="M18:M18">IF($A18="S",VTOTALBM,IF($A18=0,0,ROUND(SomaAgrupBM,15-13*ORÇAMENTO!$AF$11)))</f>
        <v>0</v>
      </c>
      <c r="N18" s="224" t="n">
        <f aca="false">O18-M18</f>
        <v>0</v>
      </c>
      <c r="O18" s="215" t="n">
        <f aca="true" t="array" ref="O18:O18">IF($A18="S",VTOTALBM,IF($A18=0,0,ROUND(SomaAgrupBM,15-13*ORÇAMENTO!$AF$11)))</f>
        <v>0</v>
      </c>
      <c r="Q18" s="639"/>
      <c r="R18" s="640"/>
      <c r="T18" s="207" t="str">
        <f aca="false">IF($W18&gt;0,$D18,"")</f>
        <v/>
      </c>
      <c r="U18" s="343" t="str">
        <f aca="false">IF($W18&gt;0,$E18,"")</f>
        <v/>
      </c>
      <c r="V18" s="344" t="str">
        <f aca="true" t="array" ref="V18:V18">IF(AND($W18&gt;0,RegimeExecucao="Unitário"),$F18,"")</f>
        <v/>
      </c>
      <c r="W18" s="641" t="n">
        <f aca="true" t="array" ref="W18:W18">IF($Y18&gt;0,CHOOSE(MATCH(RegimeExecucao,{"Unitário","Global"},0),IF($A18="S",$Y18/$X18,""),($Y18/$X18)*100),0)</f>
        <v>0</v>
      </c>
      <c r="X18" s="642" t="str">
        <f aca="true" t="array" ref="X18:X18">IF($Y18&gt;0,CHOOSE(MATCH(RegimeExecucao,{"Unitário","Global"},0),IF($A18="S",ROUND($H18,ORÇAMENTO!$AF$10),""),ROUND($I18,ORÇAMENTO!$AF$11)),"")</f>
        <v/>
      </c>
      <c r="Y18" s="642" t="n">
        <f aca="false">AO18-O18</f>
        <v>0</v>
      </c>
      <c r="Z18" s="643"/>
      <c r="AB18" s="639"/>
      <c r="AC18" s="644"/>
      <c r="AD18" s="644"/>
      <c r="AE18" s="644"/>
      <c r="AF18" s="644"/>
      <c r="AG18" s="644"/>
      <c r="AH18" s="644"/>
      <c r="AI18" s="644"/>
      <c r="AJ18" s="644"/>
      <c r="AK18" s="644"/>
      <c r="AL18" s="644"/>
      <c r="AM18" s="640"/>
      <c r="AO18" s="0" t="n">
        <f aca="true" t="array" ref="AO18:AO18">IF($A18="S",IF(BM!$I18=0,0,CHOOSE(MATCH(RegimeExecucao,{"Global","Unitário"},0),ROUND(ROUND(BM.MEDAcumulado,15-13*BM!$A$9)/100*BM!$I18,15-13*ORÇAMENTO!$AF$11),ROUND(ROUND(BM.MEDAcumulado,15-13*BM!$A$9)*ROUND(BM!$H18,15-13*ORÇAMENTO!$AF$10),15-13*ORÇAMENTO!$AF$11))),IF($A18=0,0,ROUND(SomaAgrupBM,15-13*ORÇAMENTO!$AF$11)))</f>
        <v>0</v>
      </c>
    </row>
    <row r="19" customFormat="false" ht="12.75" hidden="false" customHeight="false" outlineLevel="0" collapsed="false">
      <c r="A19" s="0" t="n">
        <f aca="false">ORÇAMENTO!C19</f>
        <v>2</v>
      </c>
      <c r="B19" s="0" t="n">
        <f aca="false">ORÇAMENTO!D19</f>
        <v>3</v>
      </c>
      <c r="C19" s="204" t="str">
        <f aca="false">IF(OR($I19&gt;0,$A19=1,$A19=2,$A19=3,$A19=4),"F","")</f>
        <v>F</v>
      </c>
      <c r="D19" s="207" t="str">
        <f aca="false">ORÇAMENTO!O19</f>
        <v>1.2.</v>
      </c>
      <c r="E19" s="343" t="str">
        <f aca="false">ORÇAMENTO.Descricao</f>
        <v>MOBILIZAÇÃO E DESMOBILIZAÇÃO</v>
      </c>
      <c r="F19" s="344" t="str">
        <f aca="true" t="array" ref="F19:F19">IF(RegimeExecucao="Global","",ORÇAMENTO.Unidade)</f>
        <v>-</v>
      </c>
      <c r="G19" s="212" t="n">
        <f aca="true" t="array" ref="G19:G19">IF(RegimeExecucao="Global","",ORÇAMENTO!T19)</f>
        <v>0</v>
      </c>
      <c r="H19" s="212" t="n">
        <f aca="true" t="array" ref="H19:H19">IF(RegimeExecucao="Global","",ORÇAMENTO!W19)</f>
        <v>0</v>
      </c>
      <c r="I19" s="215" t="n">
        <f aca="false">ORÇAMENTO!X19</f>
        <v>0</v>
      </c>
      <c r="J19" s="636" t="n">
        <f aca="true" t="array" ref="J19:J19">IF($A19="S",IF(CAIXA.Modo,BM.AFAnterior,BM.MEDAnterior),IF(AND(RegimeExecucao="Global",$I19&gt;0,COUNTIF($AB$13:$AM$13,BM.medicao-1)&gt;0),M19/$I19*100,0))</f>
        <v>0</v>
      </c>
      <c r="K19" s="212" t="n">
        <f aca="false">L19-J19</f>
        <v>0</v>
      </c>
      <c r="L19" s="637" t="n">
        <f aca="true" t="array" ref="L19:L19">IF($A19="S",IF(CAIXA.Modo,BM.AFAcumulado,BM.MEDAcumulado),IF(AND(RegimeExecucao="Global",$I19&gt;0,COUNTIF($AB$13:$AM$13,BM.medicao)&gt;0),O19/$I19*100,0))</f>
        <v>0</v>
      </c>
      <c r="M19" s="638" t="n">
        <f aca="true" t="array" ref="M19:M19">IF($A19="S",VTOTALBM,IF($A19=0,0,ROUND(SomaAgrupBM,15-13*ORÇAMENTO!$AF$11)))</f>
        <v>0</v>
      </c>
      <c r="N19" s="224" t="n">
        <f aca="false">O19-M19</f>
        <v>0</v>
      </c>
      <c r="O19" s="215" t="n">
        <f aca="true" t="array" ref="O19:O19">IF($A19="S",VTOTALBM,IF($A19=0,0,ROUND(SomaAgrupBM,15-13*ORÇAMENTO!$AF$11)))</f>
        <v>0</v>
      </c>
      <c r="Q19" s="639"/>
      <c r="R19" s="640"/>
      <c r="T19" s="207" t="str">
        <f aca="false">IF($W19&gt;0,$D19,"")</f>
        <v/>
      </c>
      <c r="U19" s="343" t="str">
        <f aca="false">IF($W19&gt;0,$E19,"")</f>
        <v/>
      </c>
      <c r="V19" s="344" t="str">
        <f aca="true" t="array" ref="V19:V19">IF(AND($W19&gt;0,RegimeExecucao="Unitário"),$F19,"")</f>
        <v/>
      </c>
      <c r="W19" s="641" t="n">
        <f aca="true" t="array" ref="W19:W19">IF($Y19&gt;0,CHOOSE(MATCH(RegimeExecucao,{"Unitário","Global"},0),IF($A19="S",$Y19/$X19,""),($Y19/$X19)*100),0)</f>
        <v>0</v>
      </c>
      <c r="X19" s="642" t="str">
        <f aca="true" t="array" ref="X19:X19">IF($Y19&gt;0,CHOOSE(MATCH(RegimeExecucao,{"Unitário","Global"},0),IF($A19="S",ROUND($H19,ORÇAMENTO!$AF$10),""),ROUND($I19,ORÇAMENTO!$AF$11)),"")</f>
        <v/>
      </c>
      <c r="Y19" s="642" t="n">
        <f aca="false">AO19-O19</f>
        <v>0</v>
      </c>
      <c r="Z19" s="643"/>
      <c r="AB19" s="639"/>
      <c r="AC19" s="644"/>
      <c r="AD19" s="644"/>
      <c r="AE19" s="644"/>
      <c r="AF19" s="644"/>
      <c r="AG19" s="644"/>
      <c r="AH19" s="644"/>
      <c r="AI19" s="644"/>
      <c r="AJ19" s="644"/>
      <c r="AK19" s="644"/>
      <c r="AL19" s="644"/>
      <c r="AM19" s="640"/>
      <c r="AO19" s="0" t="n">
        <f aca="true" t="array" ref="AO19:AO19">IF($A19="S",IF(BM!$I19=0,0,CHOOSE(MATCH(RegimeExecucao,{"Global","Unitário"},0),ROUND(ROUND(BM.MEDAcumulado,15-13*BM!$A$9)/100*BM!$I19,15-13*ORÇAMENTO!$AF$11),ROUND(ROUND(BM.MEDAcumulado,15-13*BM!$A$9)*ROUND(BM!$H19,15-13*ORÇAMENTO!$AF$10),15-13*ORÇAMENTO!$AF$11))),IF($A19=0,0,ROUND(SomaAgrupBM,15-13*ORÇAMENTO!$AF$11)))</f>
        <v>0</v>
      </c>
    </row>
    <row r="20" customFormat="false" ht="12.75" hidden="false" customHeight="false" outlineLevel="0" collapsed="false">
      <c r="A20" s="0" t="str">
        <f aca="false">ORÇAMENTO!C20</f>
        <v>S</v>
      </c>
      <c r="B20" s="0" t="n">
        <f aca="false">ORÇAMENTO!D20</f>
        <v>0</v>
      </c>
      <c r="C20" s="204" t="str">
        <f aca="false">IF(OR($I20&gt;0,$A20=1,$A20=2,$A20=3,$A20=4),"F","")</f>
        <v/>
      </c>
      <c r="D20" s="207" t="str">
        <f aca="false">ORÇAMENTO!O20</f>
        <v>-</v>
      </c>
      <c r="E20" s="343" t="str">
        <f aca="false">ORÇAMENTO.Descricao</f>
        <v>MOBILIZAÇÃO</v>
      </c>
      <c r="F20" s="344" t="str">
        <f aca="true" t="array" ref="F20:F20">IF(RegimeExecucao="Global","",ORÇAMENTO.Unidade)</f>
        <v>-</v>
      </c>
      <c r="G20" s="212" t="n">
        <f aca="true" t="array" ref="G20:G20">IF(RegimeExecucao="Global","",ORÇAMENTO!T20)</f>
        <v>1</v>
      </c>
      <c r="H20" s="212" t="n">
        <f aca="true" t="array" ref="H20:H20">IF(RegimeExecucao="Global","",ORÇAMENTO!W20)</f>
        <v>0</v>
      </c>
      <c r="I20" s="215" t="n">
        <f aca="false">ORÇAMENTO!X20</f>
        <v>0</v>
      </c>
      <c r="J20" s="636" t="n">
        <f aca="true" t="array" ref="J20:J20">IF($A20="S",IF(CAIXA.Modo,BM.AFAnterior,BM.MEDAnterior),IF(AND(RegimeExecucao="Global",$I20&gt;0,COUNTIF($AB$13:$AM$13,BM.medicao-1)&gt;0),M20/$I20*100,0))</f>
        <v>0</v>
      </c>
      <c r="K20" s="212" t="n">
        <f aca="false">L20-J20</f>
        <v>0</v>
      </c>
      <c r="L20" s="637" t="n">
        <f aca="true" t="array" ref="L20:L20">IF($A20="S",IF(CAIXA.Modo,BM.AFAcumulado,BM.MEDAcumulado),IF(AND(RegimeExecucao="Global",$I20&gt;0,COUNTIF($AB$13:$AM$13,BM.medicao)&gt;0),O20/$I20*100,0))</f>
        <v>0</v>
      </c>
      <c r="M20" s="638" t="n">
        <f aca="true" t="array" ref="M20:M20">IF($A20="S",VTOTALBM,IF($A20=0,0,ROUND(SomaAgrupBM,15-13*ORÇAMENTO!$AF$11)))</f>
        <v>0</v>
      </c>
      <c r="N20" s="224" t="n">
        <f aca="false">O20-M20</f>
        <v>0</v>
      </c>
      <c r="O20" s="215" t="n">
        <f aca="true" t="array" ref="O20:O20">IF($A20="S",VTOTALBM,IF($A20=0,0,ROUND(SomaAgrupBM,15-13*ORÇAMENTO!$AF$11)))</f>
        <v>0</v>
      </c>
      <c r="Q20" s="639"/>
      <c r="R20" s="640"/>
      <c r="T20" s="207" t="str">
        <f aca="false">IF($W20&gt;0,$D20,"")</f>
        <v/>
      </c>
      <c r="U20" s="343" t="str">
        <f aca="false">IF($W20&gt;0,$E20,"")</f>
        <v/>
      </c>
      <c r="V20" s="344" t="str">
        <f aca="true" t="array" ref="V20:V20">IF(AND($W20&gt;0,RegimeExecucao="Unitário"),$F20,"")</f>
        <v/>
      </c>
      <c r="W20" s="641" t="n">
        <f aca="true" t="array" ref="W20:W20">IF($Y20&gt;0,CHOOSE(MATCH(RegimeExecucao,{"Unitário","Global"},0),IF($A20="S",$Y20/$X20,""),($Y20/$X20)*100),0)</f>
        <v>0</v>
      </c>
      <c r="X20" s="642" t="str">
        <f aca="true" t="array" ref="X20:X20">IF($Y20&gt;0,CHOOSE(MATCH(RegimeExecucao,{"Unitário","Global"},0),IF($A20="S",ROUND($H20,ORÇAMENTO!$AF$10),""),ROUND($I20,ORÇAMENTO!$AF$11)),"")</f>
        <v/>
      </c>
      <c r="Y20" s="642" t="n">
        <f aca="false">AO20-O20</f>
        <v>0</v>
      </c>
      <c r="Z20" s="643"/>
      <c r="AB20" s="639"/>
      <c r="AC20" s="644"/>
      <c r="AD20" s="644"/>
      <c r="AE20" s="644"/>
      <c r="AF20" s="644"/>
      <c r="AG20" s="644"/>
      <c r="AH20" s="644"/>
      <c r="AI20" s="644"/>
      <c r="AJ20" s="644"/>
      <c r="AK20" s="644"/>
      <c r="AL20" s="644"/>
      <c r="AM20" s="640"/>
      <c r="AO20" s="0" t="n">
        <f aca="true" t="array" ref="AO20:AO20">IF($A20="S",IF(BM!$I20=0,0,CHOOSE(MATCH(RegimeExecucao,{"Global","Unitário"},0),ROUND(ROUND(BM.MEDAcumulado,15-13*BM!$A$9)/100*BM!$I20,15-13*ORÇAMENTO!$AF$11),ROUND(ROUND(BM.MEDAcumulado,15-13*BM!$A$9)*ROUND(BM!$H20,15-13*ORÇAMENTO!$AF$10),15-13*ORÇAMENTO!$AF$11))),IF($A20=0,0,ROUND(SomaAgrupBM,15-13*ORÇAMENTO!$AF$11)))</f>
        <v>0</v>
      </c>
    </row>
    <row r="21" customFormat="false" ht="12.75" hidden="false" customHeight="false" outlineLevel="0" collapsed="false">
      <c r="A21" s="0" t="str">
        <f aca="false">ORÇAMENTO!C21</f>
        <v>S</v>
      </c>
      <c r="B21" s="0" t="n">
        <f aca="false">ORÇAMENTO!D21</f>
        <v>0</v>
      </c>
      <c r="C21" s="204" t="str">
        <f aca="false">IF(OR($I21&gt;0,$A21=1,$A21=2,$A21=3,$A21=4),"F","")</f>
        <v/>
      </c>
      <c r="D21" s="207" t="str">
        <f aca="false">ORÇAMENTO!O21</f>
        <v>-</v>
      </c>
      <c r="E21" s="343" t="str">
        <f aca="false">ORÇAMENTO.Descricao</f>
        <v>DESMOBILIZAÇÃO</v>
      </c>
      <c r="F21" s="344" t="str">
        <f aca="true" t="array" ref="F21:F21">IF(RegimeExecucao="Global","",ORÇAMENTO.Unidade)</f>
        <v>-</v>
      </c>
      <c r="G21" s="212" t="n">
        <f aca="true" t="array" ref="G21:G21">IF(RegimeExecucao="Global","",ORÇAMENTO!T21)</f>
        <v>1</v>
      </c>
      <c r="H21" s="212" t="n">
        <f aca="true" t="array" ref="H21:H21">IF(RegimeExecucao="Global","",ORÇAMENTO!W21)</f>
        <v>0</v>
      </c>
      <c r="I21" s="215" t="n">
        <f aca="false">ORÇAMENTO!X21</f>
        <v>0</v>
      </c>
      <c r="J21" s="636" t="n">
        <f aca="true" t="array" ref="J21:J21">IF($A21="S",IF(CAIXA.Modo,BM.AFAnterior,BM.MEDAnterior),IF(AND(RegimeExecucao="Global",$I21&gt;0,COUNTIF($AB$13:$AM$13,BM.medicao-1)&gt;0),M21/$I21*100,0))</f>
        <v>0</v>
      </c>
      <c r="K21" s="212" t="n">
        <f aca="false">L21-J21</f>
        <v>0</v>
      </c>
      <c r="L21" s="637" t="n">
        <f aca="true" t="array" ref="L21:L21">IF($A21="S",IF(CAIXA.Modo,BM.AFAcumulado,BM.MEDAcumulado),IF(AND(RegimeExecucao="Global",$I21&gt;0,COUNTIF($AB$13:$AM$13,BM.medicao)&gt;0),O21/$I21*100,0))</f>
        <v>0</v>
      </c>
      <c r="M21" s="638" t="n">
        <f aca="true" t="array" ref="M21:M21">IF($A21="S",VTOTALBM,IF($A21=0,0,ROUND(SomaAgrupBM,15-13*ORÇAMENTO!$AF$11)))</f>
        <v>0</v>
      </c>
      <c r="N21" s="224" t="n">
        <f aca="false">O21-M21</f>
        <v>0</v>
      </c>
      <c r="O21" s="215" t="n">
        <f aca="true" t="array" ref="O21:O21">IF($A21="S",VTOTALBM,IF($A21=0,0,ROUND(SomaAgrupBM,15-13*ORÇAMENTO!$AF$11)))</f>
        <v>0</v>
      </c>
      <c r="Q21" s="639"/>
      <c r="R21" s="640"/>
      <c r="T21" s="207" t="str">
        <f aca="false">IF($W21&gt;0,$D21,"")</f>
        <v/>
      </c>
      <c r="U21" s="343" t="str">
        <f aca="false">IF($W21&gt;0,$E21,"")</f>
        <v/>
      </c>
      <c r="V21" s="344" t="str">
        <f aca="true" t="array" ref="V21:V21">IF(AND($W21&gt;0,RegimeExecucao="Unitário"),$F21,"")</f>
        <v/>
      </c>
      <c r="W21" s="641" t="n">
        <f aca="true" t="array" ref="W21:W21">IF($Y21&gt;0,CHOOSE(MATCH(RegimeExecucao,{"Unitário","Global"},0),IF($A21="S",$Y21/$X21,""),($Y21/$X21)*100),0)</f>
        <v>0</v>
      </c>
      <c r="X21" s="642" t="str">
        <f aca="true" t="array" ref="X21:X21">IF($Y21&gt;0,CHOOSE(MATCH(RegimeExecucao,{"Unitário","Global"},0),IF($A21="S",ROUND($H21,ORÇAMENTO!$AF$10),""),ROUND($I21,ORÇAMENTO!$AF$11)),"")</f>
        <v/>
      </c>
      <c r="Y21" s="642" t="n">
        <f aca="false">AO21-O21</f>
        <v>0</v>
      </c>
      <c r="Z21" s="643"/>
      <c r="AB21" s="639"/>
      <c r="AC21" s="644"/>
      <c r="AD21" s="644"/>
      <c r="AE21" s="644"/>
      <c r="AF21" s="644"/>
      <c r="AG21" s="644"/>
      <c r="AH21" s="644"/>
      <c r="AI21" s="644"/>
      <c r="AJ21" s="644"/>
      <c r="AK21" s="644"/>
      <c r="AL21" s="644"/>
      <c r="AM21" s="640"/>
      <c r="AO21" s="0" t="n">
        <f aca="true" t="array" ref="AO21:AO21">IF($A21="S",IF(BM!$I21=0,0,CHOOSE(MATCH(RegimeExecucao,{"Global","Unitário"},0),ROUND(ROUND(BM.MEDAcumulado,15-13*BM!$A$9)/100*BM!$I21,15-13*ORÇAMENTO!$AF$11),ROUND(ROUND(BM.MEDAcumulado,15-13*BM!$A$9)*ROUND(BM!$H21,15-13*ORÇAMENTO!$AF$10),15-13*ORÇAMENTO!$AF$11))),IF($A21=0,0,ROUND(SomaAgrupBM,15-13*ORÇAMENTO!$AF$11)))</f>
        <v>0</v>
      </c>
    </row>
    <row r="22" customFormat="false" ht="12.75" hidden="false" customHeight="false" outlineLevel="0" collapsed="false">
      <c r="A22" s="0" t="n">
        <f aca="false">ORÇAMENTO!C22</f>
        <v>2</v>
      </c>
      <c r="B22" s="0" t="n">
        <f aca="false">ORÇAMENTO!D22</f>
        <v>4</v>
      </c>
      <c r="C22" s="204" t="str">
        <f aca="false">IF(OR($I22&gt;0,$A22=1,$A22=2,$A22=3,$A22=4),"F","")</f>
        <v>F</v>
      </c>
      <c r="D22" s="207" t="str">
        <f aca="false">ORÇAMENTO!O22</f>
        <v>1.3.</v>
      </c>
      <c r="E22" s="343" t="str">
        <f aca="false">ORÇAMENTO.Descricao</f>
        <v>SERVIÇOS PRELIMINARES</v>
      </c>
      <c r="F22" s="344" t="str">
        <f aca="true" t="array" ref="F22:F22">IF(RegimeExecucao="Global","",ORÇAMENTO.Unidade)</f>
        <v>-</v>
      </c>
      <c r="G22" s="212" t="n">
        <f aca="true" t="array" ref="G22:G22">IF(RegimeExecucao="Global","",ORÇAMENTO!T22)</f>
        <v>0</v>
      </c>
      <c r="H22" s="212" t="n">
        <f aca="true" t="array" ref="H22:H22">IF(RegimeExecucao="Global","",ORÇAMENTO!W22)</f>
        <v>0</v>
      </c>
      <c r="I22" s="215" t="n">
        <f aca="false">ORÇAMENTO!X22</f>
        <v>0</v>
      </c>
      <c r="J22" s="636" t="n">
        <f aca="true" t="array" ref="J22:J22">IF($A22="S",IF(CAIXA.Modo,BM.AFAnterior,BM.MEDAnterior),IF(AND(RegimeExecucao="Global",$I22&gt;0,COUNTIF($AB$13:$AM$13,BM.medicao-1)&gt;0),M22/$I22*100,0))</f>
        <v>0</v>
      </c>
      <c r="K22" s="212" t="n">
        <f aca="false">L22-J22</f>
        <v>0</v>
      </c>
      <c r="L22" s="637" t="n">
        <f aca="true" t="array" ref="L22:L22">IF($A22="S",IF(CAIXA.Modo,BM.AFAcumulado,BM.MEDAcumulado),IF(AND(RegimeExecucao="Global",$I22&gt;0,COUNTIF($AB$13:$AM$13,BM.medicao)&gt;0),O22/$I22*100,0))</f>
        <v>0</v>
      </c>
      <c r="M22" s="638" t="n">
        <f aca="true" t="array" ref="M22:M22">IF($A22="S",VTOTALBM,IF($A22=0,0,ROUND(SomaAgrupBM,15-13*ORÇAMENTO!$AF$11)))</f>
        <v>0</v>
      </c>
      <c r="N22" s="224" t="n">
        <f aca="false">O22-M22</f>
        <v>0</v>
      </c>
      <c r="O22" s="215" t="n">
        <f aca="true" t="array" ref="O22:O22">IF($A22="S",VTOTALBM,IF($A22=0,0,ROUND(SomaAgrupBM,15-13*ORÇAMENTO!$AF$11)))</f>
        <v>0</v>
      </c>
      <c r="Q22" s="639"/>
      <c r="R22" s="640"/>
      <c r="T22" s="207" t="str">
        <f aca="false">IF($W22&gt;0,$D22,"")</f>
        <v/>
      </c>
      <c r="U22" s="343" t="str">
        <f aca="false">IF($W22&gt;0,$E22,"")</f>
        <v/>
      </c>
      <c r="V22" s="344" t="str">
        <f aca="true" t="array" ref="V22:V22">IF(AND($W22&gt;0,RegimeExecucao="Unitário"),$F22,"")</f>
        <v/>
      </c>
      <c r="W22" s="641" t="n">
        <f aca="true" t="array" ref="W22:W22">IF($Y22&gt;0,CHOOSE(MATCH(RegimeExecucao,{"Unitário","Global"},0),IF($A22="S",$Y22/$X22,""),($Y22/$X22)*100),0)</f>
        <v>0</v>
      </c>
      <c r="X22" s="642" t="str">
        <f aca="true" t="array" ref="X22:X22">IF($Y22&gt;0,CHOOSE(MATCH(RegimeExecucao,{"Unitário","Global"},0),IF($A22="S",ROUND($H22,ORÇAMENTO!$AF$10),""),ROUND($I22,ORÇAMENTO!$AF$11)),"")</f>
        <v/>
      </c>
      <c r="Y22" s="642" t="n">
        <f aca="false">AO22-O22</f>
        <v>0</v>
      </c>
      <c r="Z22" s="643"/>
      <c r="AB22" s="639"/>
      <c r="AC22" s="644"/>
      <c r="AD22" s="644"/>
      <c r="AE22" s="644"/>
      <c r="AF22" s="644"/>
      <c r="AG22" s="644"/>
      <c r="AH22" s="644"/>
      <c r="AI22" s="644"/>
      <c r="AJ22" s="644"/>
      <c r="AK22" s="644"/>
      <c r="AL22" s="644"/>
      <c r="AM22" s="640"/>
      <c r="AO22" s="0" t="n">
        <f aca="true" t="array" ref="AO22:AO22">IF($A22="S",IF(BM!$I22=0,0,CHOOSE(MATCH(RegimeExecucao,{"Global","Unitário"},0),ROUND(ROUND(BM.MEDAcumulado,15-13*BM!$A$9)/100*BM!$I22,15-13*ORÇAMENTO!$AF$11),ROUND(ROUND(BM.MEDAcumulado,15-13*BM!$A$9)*ROUND(BM!$H22,15-13*ORÇAMENTO!$AF$10),15-13*ORÇAMENTO!$AF$11))),IF($A22=0,0,ROUND(SomaAgrupBM,15-13*ORÇAMENTO!$AF$11)))</f>
        <v>0</v>
      </c>
    </row>
    <row r="23" customFormat="false" ht="12.75" hidden="false" customHeight="false" outlineLevel="0" collapsed="false">
      <c r="A23" s="0" t="str">
        <f aca="false">ORÇAMENTO!C23</f>
        <v>S</v>
      </c>
      <c r="B23" s="0" t="n">
        <f aca="false">ORÇAMENTO!D23</f>
        <v>0</v>
      </c>
      <c r="C23" s="204" t="str">
        <f aca="false">IF(OR($I23&gt;0,$A23=1,$A23=2,$A23=3,$A23=4),"F","")</f>
        <v/>
      </c>
      <c r="D23" s="207" t="str">
        <f aca="false">ORÇAMENTO!O23</f>
        <v>-</v>
      </c>
      <c r="E23" s="343" t="str">
        <f aca="false">ORÇAMENTO.Descricao</f>
        <v>(Código não identificado nas referências)</v>
      </c>
      <c r="F23" s="344" t="str">
        <f aca="true" t="array" ref="F23:F23">IF(RegimeExecucao="Global","",ORÇAMENTO.Unidade)</f>
        <v>-</v>
      </c>
      <c r="G23" s="212" t="n">
        <f aca="true" t="array" ref="G23:G23">IF(RegimeExecucao="Global","",ORÇAMENTO!T23)</f>
        <v>7.28</v>
      </c>
      <c r="H23" s="212" t="n">
        <f aca="true" t="array" ref="H23:H23">IF(RegimeExecucao="Global","",ORÇAMENTO!W23)</f>
        <v>0</v>
      </c>
      <c r="I23" s="215" t="n">
        <f aca="false">ORÇAMENTO!X23</f>
        <v>0</v>
      </c>
      <c r="J23" s="636" t="n">
        <f aca="true" t="array" ref="J23:J23">IF($A23="S",IF(CAIXA.Modo,BM.AFAnterior,BM.MEDAnterior),IF(AND(RegimeExecucao="Global",$I23&gt;0,COUNTIF($AB$13:$AM$13,BM.medicao-1)&gt;0),M23/$I23*100,0))</f>
        <v>0</v>
      </c>
      <c r="K23" s="212" t="n">
        <f aca="false">L23-J23</f>
        <v>0</v>
      </c>
      <c r="L23" s="637" t="n">
        <f aca="true" t="array" ref="L23:L23">IF($A23="S",IF(CAIXA.Modo,BM.AFAcumulado,BM.MEDAcumulado),IF(AND(RegimeExecucao="Global",$I23&gt;0,COUNTIF($AB$13:$AM$13,BM.medicao)&gt;0),O23/$I23*100,0))</f>
        <v>0</v>
      </c>
      <c r="M23" s="638" t="n">
        <f aca="true" t="array" ref="M23:M23">IF($A23="S",VTOTALBM,IF($A23=0,0,ROUND(SomaAgrupBM,15-13*ORÇAMENTO!$AF$11)))</f>
        <v>0</v>
      </c>
      <c r="N23" s="224" t="n">
        <f aca="false">O23-M23</f>
        <v>0</v>
      </c>
      <c r="O23" s="215" t="n">
        <f aca="true" t="array" ref="O23:O23">IF($A23="S",VTOTALBM,IF($A23=0,0,ROUND(SomaAgrupBM,15-13*ORÇAMENTO!$AF$11)))</f>
        <v>0</v>
      </c>
      <c r="Q23" s="639"/>
      <c r="R23" s="640"/>
      <c r="T23" s="207" t="str">
        <f aca="false">IF($W23&gt;0,$D23,"")</f>
        <v/>
      </c>
      <c r="U23" s="343" t="str">
        <f aca="false">IF($W23&gt;0,$E23,"")</f>
        <v/>
      </c>
      <c r="V23" s="344" t="str">
        <f aca="true" t="array" ref="V23:V23">IF(AND($W23&gt;0,RegimeExecucao="Unitário"),$F23,"")</f>
        <v/>
      </c>
      <c r="W23" s="641" t="n">
        <f aca="true" t="array" ref="W23:W23">IF($Y23&gt;0,CHOOSE(MATCH(RegimeExecucao,{"Unitário","Global"},0),IF($A23="S",$Y23/$X23,""),($Y23/$X23)*100),0)</f>
        <v>0</v>
      </c>
      <c r="X23" s="642" t="str">
        <f aca="true" t="array" ref="X23:X23">IF($Y23&gt;0,CHOOSE(MATCH(RegimeExecucao,{"Unitário","Global"},0),IF($A23="S",ROUND($H23,ORÇAMENTO!$AF$10),""),ROUND($I23,ORÇAMENTO!$AF$11)),"")</f>
        <v/>
      </c>
      <c r="Y23" s="642" t="n">
        <f aca="false">AO23-O23</f>
        <v>0</v>
      </c>
      <c r="Z23" s="643"/>
      <c r="AB23" s="639"/>
      <c r="AC23" s="644"/>
      <c r="AD23" s="644"/>
      <c r="AE23" s="644"/>
      <c r="AF23" s="644"/>
      <c r="AG23" s="644"/>
      <c r="AH23" s="644"/>
      <c r="AI23" s="644"/>
      <c r="AJ23" s="644"/>
      <c r="AK23" s="644"/>
      <c r="AL23" s="644"/>
      <c r="AM23" s="640"/>
      <c r="AO23" s="0" t="n">
        <f aca="true" t="array" ref="AO23:AO23">IF($A23="S",IF(BM!$I23=0,0,CHOOSE(MATCH(RegimeExecucao,{"Global","Unitário"},0),ROUND(ROUND(BM.MEDAcumulado,15-13*BM!$A$9)/100*BM!$I23,15-13*ORÇAMENTO!$AF$11),ROUND(ROUND(BM.MEDAcumulado,15-13*BM!$A$9)*ROUND(BM!$H23,15-13*ORÇAMENTO!$AF$10),15-13*ORÇAMENTO!$AF$11))),IF($A23=0,0,ROUND(SomaAgrupBM,15-13*ORÇAMENTO!$AF$11)))</f>
        <v>0</v>
      </c>
    </row>
    <row r="24" customFormat="false" ht="12.75" hidden="false" customHeight="false" outlineLevel="0" collapsed="false">
      <c r="A24" s="0" t="str">
        <f aca="false">ORÇAMENTO!C24</f>
        <v>S</v>
      </c>
      <c r="B24" s="0" t="n">
        <f aca="false">ORÇAMENTO!D24</f>
        <v>0</v>
      </c>
      <c r="C24" s="204" t="str">
        <f aca="false">IF(OR($I24&gt;0,$A24=1,$A24=2,$A24=3,$A24=4),"F","")</f>
        <v/>
      </c>
      <c r="D24" s="207" t="str">
        <f aca="false">ORÇAMENTO!O24</f>
        <v>-</v>
      </c>
      <c r="E24" s="343" t="str">
        <f aca="false">ORÇAMENTO.Descricao</f>
        <v>(Código não identificado nas referências)</v>
      </c>
      <c r="F24" s="344" t="str">
        <f aca="true" t="array" ref="F24:F24">IF(RegimeExecucao="Global","",ORÇAMENTO.Unidade)</f>
        <v>-</v>
      </c>
      <c r="G24" s="212" t="n">
        <f aca="true" t="array" ref="G24:G24">IF(RegimeExecucao="Global","",ORÇAMENTO!T24)</f>
        <v>1</v>
      </c>
      <c r="H24" s="212" t="n">
        <f aca="true" t="array" ref="H24:H24">IF(RegimeExecucao="Global","",ORÇAMENTO!W24)</f>
        <v>0</v>
      </c>
      <c r="I24" s="215" t="n">
        <f aca="false">ORÇAMENTO!X24</f>
        <v>0</v>
      </c>
      <c r="J24" s="636" t="n">
        <f aca="true" t="array" ref="J24:J24">IF($A24="S",IF(CAIXA.Modo,BM.AFAnterior,BM.MEDAnterior),IF(AND(RegimeExecucao="Global",$I24&gt;0,COUNTIF($AB$13:$AM$13,BM.medicao-1)&gt;0),M24/$I24*100,0))</f>
        <v>0</v>
      </c>
      <c r="K24" s="212" t="n">
        <f aca="false">L24-J24</f>
        <v>0</v>
      </c>
      <c r="L24" s="637" t="n">
        <f aca="true" t="array" ref="L24:L24">IF($A24="S",IF(CAIXA.Modo,BM.AFAcumulado,BM.MEDAcumulado),IF(AND(RegimeExecucao="Global",$I24&gt;0,COUNTIF($AB$13:$AM$13,BM.medicao)&gt;0),O24/$I24*100,0))</f>
        <v>0</v>
      </c>
      <c r="M24" s="638" t="n">
        <f aca="true" t="array" ref="M24:M24">IF($A24="S",VTOTALBM,IF($A24=0,0,ROUND(SomaAgrupBM,15-13*ORÇAMENTO!$AF$11)))</f>
        <v>0</v>
      </c>
      <c r="N24" s="224" t="n">
        <f aca="false">O24-M24</f>
        <v>0</v>
      </c>
      <c r="O24" s="215" t="n">
        <f aca="true" t="array" ref="O24:O24">IF($A24="S",VTOTALBM,IF($A24=0,0,ROUND(SomaAgrupBM,15-13*ORÇAMENTO!$AF$11)))</f>
        <v>0</v>
      </c>
      <c r="Q24" s="639"/>
      <c r="R24" s="640"/>
      <c r="T24" s="207" t="str">
        <f aca="false">IF($W24&gt;0,$D24,"")</f>
        <v/>
      </c>
      <c r="U24" s="343" t="str">
        <f aca="false">IF($W24&gt;0,$E24,"")</f>
        <v/>
      </c>
      <c r="V24" s="344" t="str">
        <f aca="true" t="array" ref="V24:V24">IF(AND($W24&gt;0,RegimeExecucao="Unitário"),$F24,"")</f>
        <v/>
      </c>
      <c r="W24" s="641" t="n">
        <f aca="true" t="array" ref="W24:W24">IF($Y24&gt;0,CHOOSE(MATCH(RegimeExecucao,{"Unitário","Global"},0),IF($A24="S",$Y24/$X24,""),($Y24/$X24)*100),0)</f>
        <v>0</v>
      </c>
      <c r="X24" s="642" t="str">
        <f aca="true" t="array" ref="X24:X24">IF($Y24&gt;0,CHOOSE(MATCH(RegimeExecucao,{"Unitário","Global"},0),IF($A24="S",ROUND($H24,ORÇAMENTO!$AF$10),""),ROUND($I24,ORÇAMENTO!$AF$11)),"")</f>
        <v/>
      </c>
      <c r="Y24" s="642" t="n">
        <f aca="false">AO24-O24</f>
        <v>0</v>
      </c>
      <c r="Z24" s="643"/>
      <c r="AB24" s="639"/>
      <c r="AC24" s="644"/>
      <c r="AD24" s="644"/>
      <c r="AE24" s="644"/>
      <c r="AF24" s="644"/>
      <c r="AG24" s="644"/>
      <c r="AH24" s="644"/>
      <c r="AI24" s="644"/>
      <c r="AJ24" s="644"/>
      <c r="AK24" s="644"/>
      <c r="AL24" s="644"/>
      <c r="AM24" s="640"/>
      <c r="AO24" s="0" t="n">
        <f aca="true" t="array" ref="AO24:AO24">IF($A24="S",IF(BM!$I24=0,0,CHOOSE(MATCH(RegimeExecucao,{"Global","Unitário"},0),ROUND(ROUND(BM.MEDAcumulado,15-13*BM!$A$9)/100*BM!$I24,15-13*ORÇAMENTO!$AF$11),ROUND(ROUND(BM.MEDAcumulado,15-13*BM!$A$9)*ROUND(BM!$H24,15-13*ORÇAMENTO!$AF$10),15-13*ORÇAMENTO!$AF$11))),IF($A24=0,0,ROUND(SomaAgrupBM,15-13*ORÇAMENTO!$AF$11)))</f>
        <v>0</v>
      </c>
    </row>
    <row r="25" customFormat="false" ht="12.75" hidden="false" customHeight="false" outlineLevel="0" collapsed="false">
      <c r="A25" s="0" t="str">
        <f aca="false">ORÇAMENTO!C25</f>
        <v>S</v>
      </c>
      <c r="B25" s="0" t="n">
        <f aca="false">ORÇAMENTO!D25</f>
        <v>0</v>
      </c>
      <c r="C25" s="204" t="str">
        <f aca="false">IF(OR($I25&gt;0,$A25=1,$A25=2,$A25=3,$A25=4),"F","")</f>
        <v/>
      </c>
      <c r="D25" s="207" t="str">
        <f aca="false">ORÇAMENTO!O25</f>
        <v>-</v>
      </c>
      <c r="E25" s="343" t="str">
        <f aca="false">ORÇAMENTO.Descricao</f>
        <v>(Código não identificado nas referências)</v>
      </c>
      <c r="F25" s="344" t="str">
        <f aca="true" t="array" ref="F25:F25">IF(RegimeExecucao="Global","",ORÇAMENTO.Unidade)</f>
        <v>-</v>
      </c>
      <c r="G25" s="212" t="n">
        <f aca="true" t="array" ref="G25:G25">IF(RegimeExecucao="Global","",ORÇAMENTO!T25)</f>
        <v>1</v>
      </c>
      <c r="H25" s="212" t="n">
        <f aca="true" t="array" ref="H25:H25">IF(RegimeExecucao="Global","",ORÇAMENTO!W25)</f>
        <v>0</v>
      </c>
      <c r="I25" s="215" t="n">
        <f aca="false">ORÇAMENTO!X25</f>
        <v>0</v>
      </c>
      <c r="J25" s="636" t="n">
        <f aca="true" t="array" ref="J25:J25">IF($A25="S",IF(CAIXA.Modo,BM.AFAnterior,BM.MEDAnterior),IF(AND(RegimeExecucao="Global",$I25&gt;0,COUNTIF($AB$13:$AM$13,BM.medicao-1)&gt;0),M25/$I25*100,0))</f>
        <v>0</v>
      </c>
      <c r="K25" s="212" t="n">
        <f aca="false">L25-J25</f>
        <v>0</v>
      </c>
      <c r="L25" s="637" t="n">
        <f aca="true" t="array" ref="L25:L25">IF($A25="S",IF(CAIXA.Modo,BM.AFAcumulado,BM.MEDAcumulado),IF(AND(RegimeExecucao="Global",$I25&gt;0,COUNTIF($AB$13:$AM$13,BM.medicao)&gt;0),O25/$I25*100,0))</f>
        <v>0</v>
      </c>
      <c r="M25" s="638" t="n">
        <f aca="true" t="array" ref="M25:M25">IF($A25="S",VTOTALBM,IF($A25=0,0,ROUND(SomaAgrupBM,15-13*ORÇAMENTO!$AF$11)))</f>
        <v>0</v>
      </c>
      <c r="N25" s="224" t="n">
        <f aca="false">O25-M25</f>
        <v>0</v>
      </c>
      <c r="O25" s="215" t="n">
        <f aca="true" t="array" ref="O25:O25">IF($A25="S",VTOTALBM,IF($A25=0,0,ROUND(SomaAgrupBM,15-13*ORÇAMENTO!$AF$11)))</f>
        <v>0</v>
      </c>
      <c r="Q25" s="639"/>
      <c r="R25" s="640"/>
      <c r="T25" s="207" t="str">
        <f aca="false">IF($W25&gt;0,$D25,"")</f>
        <v/>
      </c>
      <c r="U25" s="343" t="str">
        <f aca="false">IF($W25&gt;0,$E25,"")</f>
        <v/>
      </c>
      <c r="V25" s="344" t="str">
        <f aca="true" t="array" ref="V25:V25">IF(AND($W25&gt;0,RegimeExecucao="Unitário"),$F25,"")</f>
        <v/>
      </c>
      <c r="W25" s="641" t="n">
        <f aca="true" t="array" ref="W25:W25">IF($Y25&gt;0,CHOOSE(MATCH(RegimeExecucao,{"Unitário","Global"},0),IF($A25="S",$Y25/$X25,""),($Y25/$X25)*100),0)</f>
        <v>0</v>
      </c>
      <c r="X25" s="642" t="str">
        <f aca="true" t="array" ref="X25:X25">IF($Y25&gt;0,CHOOSE(MATCH(RegimeExecucao,{"Unitário","Global"},0),IF($A25="S",ROUND($H25,ORÇAMENTO!$AF$10),""),ROUND($I25,ORÇAMENTO!$AF$11)),"")</f>
        <v/>
      </c>
      <c r="Y25" s="642" t="n">
        <f aca="false">AO25-O25</f>
        <v>0</v>
      </c>
      <c r="Z25" s="643"/>
      <c r="AB25" s="639"/>
      <c r="AC25" s="644"/>
      <c r="AD25" s="644"/>
      <c r="AE25" s="644"/>
      <c r="AF25" s="644"/>
      <c r="AG25" s="644"/>
      <c r="AH25" s="644"/>
      <c r="AI25" s="644"/>
      <c r="AJ25" s="644"/>
      <c r="AK25" s="644"/>
      <c r="AL25" s="644"/>
      <c r="AM25" s="640"/>
      <c r="AO25" s="0" t="n">
        <f aca="true" t="array" ref="AO25:AO25">IF($A25="S",IF(BM!$I25=0,0,CHOOSE(MATCH(RegimeExecucao,{"Global","Unitário"},0),ROUND(ROUND(BM.MEDAcumulado,15-13*BM!$A$9)/100*BM!$I25,15-13*ORÇAMENTO!$AF$11),ROUND(ROUND(BM.MEDAcumulado,15-13*BM!$A$9)*ROUND(BM!$H25,15-13*ORÇAMENTO!$AF$10),15-13*ORÇAMENTO!$AF$11))),IF($A25=0,0,ROUND(SomaAgrupBM,15-13*ORÇAMENTO!$AF$11)))</f>
        <v>0</v>
      </c>
    </row>
    <row r="26" customFormat="false" ht="12.75" hidden="false" customHeight="false" outlineLevel="0" collapsed="false">
      <c r="A26" s="0" t="n">
        <f aca="false">ORÇAMENTO!C26</f>
        <v>2</v>
      </c>
      <c r="B26" s="0" t="n">
        <f aca="false">ORÇAMENTO!D26</f>
        <v>2</v>
      </c>
      <c r="C26" s="204" t="str">
        <f aca="false">IF(OR($I26&gt;0,$A26=1,$A26=2,$A26=3,$A26=4),"F","")</f>
        <v>F</v>
      </c>
      <c r="D26" s="207" t="str">
        <f aca="false">ORÇAMENTO!O26</f>
        <v>1.4.</v>
      </c>
      <c r="E26" s="343" t="str">
        <f aca="false">ORÇAMENTO.Descricao</f>
        <v>REMOÇAO/DEMOLIÇÃO PASSEIO E MEIO FIO EXISTENTE</v>
      </c>
      <c r="F26" s="344" t="str">
        <f aca="true" t="array" ref="F26:F26">IF(RegimeExecucao="Global","",ORÇAMENTO.Unidade)</f>
        <v>-</v>
      </c>
      <c r="G26" s="212" t="n">
        <f aca="true" t="array" ref="G26:G26">IF(RegimeExecucao="Global","",ORÇAMENTO!T26)</f>
        <v>0</v>
      </c>
      <c r="H26" s="212" t="n">
        <f aca="true" t="array" ref="H26:H26">IF(RegimeExecucao="Global","",ORÇAMENTO!W26)</f>
        <v>0</v>
      </c>
      <c r="I26" s="215" t="n">
        <f aca="false">ORÇAMENTO!X26</f>
        <v>0</v>
      </c>
      <c r="J26" s="636" t="n">
        <f aca="true" t="array" ref="J26:J26">IF($A26="S",IF(CAIXA.Modo,BM.AFAnterior,BM.MEDAnterior),IF(AND(RegimeExecucao="Global",$I26&gt;0,COUNTIF($AB$13:$AM$13,BM.medicao-1)&gt;0),M26/$I26*100,0))</f>
        <v>0</v>
      </c>
      <c r="K26" s="212" t="n">
        <f aca="false">L26-J26</f>
        <v>0</v>
      </c>
      <c r="L26" s="637" t="n">
        <f aca="true" t="array" ref="L26:L26">IF($A26="S",IF(CAIXA.Modo,BM.AFAcumulado,BM.MEDAcumulado),IF(AND(RegimeExecucao="Global",$I26&gt;0,COUNTIF($AB$13:$AM$13,BM.medicao)&gt;0),O26/$I26*100,0))</f>
        <v>0</v>
      </c>
      <c r="M26" s="638" t="n">
        <f aca="true" t="array" ref="M26:M26">IF($A26="S",VTOTALBM,IF($A26=0,0,ROUND(SomaAgrupBM,15-13*ORÇAMENTO!$AF$11)))</f>
        <v>0</v>
      </c>
      <c r="N26" s="224" t="n">
        <f aca="false">O26-M26</f>
        <v>0</v>
      </c>
      <c r="O26" s="215" t="n">
        <f aca="true" t="array" ref="O26:O26">IF($A26="S",VTOTALBM,IF($A26=0,0,ROUND(SomaAgrupBM,15-13*ORÇAMENTO!$AF$11)))</f>
        <v>0</v>
      </c>
      <c r="Q26" s="639"/>
      <c r="R26" s="640"/>
      <c r="T26" s="207" t="str">
        <f aca="false">IF($W26&gt;0,$D26,"")</f>
        <v/>
      </c>
      <c r="U26" s="343" t="str">
        <f aca="false">IF($W26&gt;0,$E26,"")</f>
        <v/>
      </c>
      <c r="V26" s="344" t="str">
        <f aca="true" t="array" ref="V26:V26">IF(AND($W26&gt;0,RegimeExecucao="Unitário"),$F26,"")</f>
        <v/>
      </c>
      <c r="W26" s="641" t="n">
        <f aca="true" t="array" ref="W26:W26">IF($Y26&gt;0,CHOOSE(MATCH(RegimeExecucao,{"Unitário","Global"},0),IF($A26="S",$Y26/$X26,""),($Y26/$X26)*100),0)</f>
        <v>0</v>
      </c>
      <c r="X26" s="642" t="str">
        <f aca="true" t="array" ref="X26:X26">IF($Y26&gt;0,CHOOSE(MATCH(RegimeExecucao,{"Unitário","Global"},0),IF($A26="S",ROUND($H26,ORÇAMENTO!$AF$10),""),ROUND($I26,ORÇAMENTO!$AF$11)),"")</f>
        <v/>
      </c>
      <c r="Y26" s="642" t="n">
        <f aca="false">AO26-O26</f>
        <v>0</v>
      </c>
      <c r="Z26" s="643"/>
      <c r="AB26" s="639"/>
      <c r="AC26" s="644"/>
      <c r="AD26" s="644"/>
      <c r="AE26" s="644"/>
      <c r="AF26" s="644"/>
      <c r="AG26" s="644"/>
      <c r="AH26" s="644"/>
      <c r="AI26" s="644"/>
      <c r="AJ26" s="644"/>
      <c r="AK26" s="644"/>
      <c r="AL26" s="644"/>
      <c r="AM26" s="640"/>
      <c r="AO26" s="0" t="n">
        <f aca="true" t="array" ref="AO26:AO26">IF($A26="S",IF(BM!$I26=0,0,CHOOSE(MATCH(RegimeExecucao,{"Global","Unitário"},0),ROUND(ROUND(BM.MEDAcumulado,15-13*BM!$A$9)/100*BM!$I26,15-13*ORÇAMENTO!$AF$11),ROUND(ROUND(BM.MEDAcumulado,15-13*BM!$A$9)*ROUND(BM!$H26,15-13*ORÇAMENTO!$AF$10),15-13*ORÇAMENTO!$AF$11))),IF($A26=0,0,ROUND(SomaAgrupBM,15-13*ORÇAMENTO!$AF$11)))</f>
        <v>0</v>
      </c>
    </row>
    <row r="27" customFormat="false" ht="12.75" hidden="false" customHeight="false" outlineLevel="0" collapsed="false">
      <c r="A27" s="0" t="str">
        <f aca="false">ORÇAMENTO!C27</f>
        <v>S</v>
      </c>
      <c r="B27" s="0" t="n">
        <f aca="false">ORÇAMENTO!D27</f>
        <v>0</v>
      </c>
      <c r="C27" s="204" t="str">
        <f aca="false">IF(OR($I27&gt;0,$A27=1,$A27=2,$A27=3,$A27=4),"F","")</f>
        <v/>
      </c>
      <c r="D27" s="207" t="str">
        <f aca="false">ORÇAMENTO!O27</f>
        <v>-</v>
      </c>
      <c r="E27" s="343" t="str">
        <f aca="false">ORÇAMENTO.Descricao</f>
        <v>(Código não identificado nas referências)</v>
      </c>
      <c r="F27" s="344" t="str">
        <f aca="true" t="array" ref="F27:F27">IF(RegimeExecucao="Global","",ORÇAMENTO.Unidade)</f>
        <v>-</v>
      </c>
      <c r="G27" s="212" t="n">
        <f aca="true" t="array" ref="G27:G27">IF(RegimeExecucao="Global","",ORÇAMENTO!T27)</f>
        <v>1634.57</v>
      </c>
      <c r="H27" s="212" t="n">
        <f aca="true" t="array" ref="H27:H27">IF(RegimeExecucao="Global","",ORÇAMENTO!W27)</f>
        <v>0</v>
      </c>
      <c r="I27" s="215" t="n">
        <f aca="false">ORÇAMENTO!X27</f>
        <v>0</v>
      </c>
      <c r="J27" s="636" t="n">
        <f aca="true" t="array" ref="J27:J27">IF($A27="S",IF(CAIXA.Modo,BM.AFAnterior,BM.MEDAnterior),IF(AND(RegimeExecucao="Global",$I27&gt;0,COUNTIF($AB$13:$AM$13,BM.medicao-1)&gt;0),M27/$I27*100,0))</f>
        <v>0</v>
      </c>
      <c r="K27" s="212" t="n">
        <f aca="false">L27-J27</f>
        <v>0</v>
      </c>
      <c r="L27" s="637" t="n">
        <f aca="true" t="array" ref="L27:L27">IF($A27="S",IF(CAIXA.Modo,BM.AFAcumulado,BM.MEDAcumulado),IF(AND(RegimeExecucao="Global",$I27&gt;0,COUNTIF($AB$13:$AM$13,BM.medicao)&gt;0),O27/$I27*100,0))</f>
        <v>0</v>
      </c>
      <c r="M27" s="638" t="n">
        <f aca="true" t="array" ref="M27:M27">IF($A27="S",VTOTALBM,IF($A27=0,0,ROUND(SomaAgrupBM,15-13*ORÇAMENTO!$AF$11)))</f>
        <v>0</v>
      </c>
      <c r="N27" s="224" t="n">
        <f aca="false">O27-M27</f>
        <v>0</v>
      </c>
      <c r="O27" s="215" t="n">
        <f aca="true" t="array" ref="O27:O27">IF($A27="S",VTOTALBM,IF($A27=0,0,ROUND(SomaAgrupBM,15-13*ORÇAMENTO!$AF$11)))</f>
        <v>0</v>
      </c>
      <c r="Q27" s="639"/>
      <c r="R27" s="640"/>
      <c r="T27" s="207" t="str">
        <f aca="false">IF($W27&gt;0,$D27,"")</f>
        <v/>
      </c>
      <c r="U27" s="343" t="str">
        <f aca="false">IF($W27&gt;0,$E27,"")</f>
        <v/>
      </c>
      <c r="V27" s="344" t="str">
        <f aca="true" t="array" ref="V27:V27">IF(AND($W27&gt;0,RegimeExecucao="Unitário"),$F27,"")</f>
        <v/>
      </c>
      <c r="W27" s="641" t="n">
        <f aca="true" t="array" ref="W27:W27">IF($Y27&gt;0,CHOOSE(MATCH(RegimeExecucao,{"Unitário","Global"},0),IF($A27="S",$Y27/$X27,""),($Y27/$X27)*100),0)</f>
        <v>0</v>
      </c>
      <c r="X27" s="642" t="str">
        <f aca="true" t="array" ref="X27:X27">IF($Y27&gt;0,CHOOSE(MATCH(RegimeExecucao,{"Unitário","Global"},0),IF($A27="S",ROUND($H27,ORÇAMENTO!$AF$10),""),ROUND($I27,ORÇAMENTO!$AF$11)),"")</f>
        <v/>
      </c>
      <c r="Y27" s="642" t="n">
        <f aca="false">AO27-O27</f>
        <v>0</v>
      </c>
      <c r="Z27" s="643"/>
      <c r="AB27" s="639"/>
      <c r="AC27" s="644"/>
      <c r="AD27" s="644"/>
      <c r="AE27" s="644"/>
      <c r="AF27" s="644"/>
      <c r="AG27" s="644"/>
      <c r="AH27" s="644"/>
      <c r="AI27" s="644"/>
      <c r="AJ27" s="644"/>
      <c r="AK27" s="644"/>
      <c r="AL27" s="644"/>
      <c r="AM27" s="640"/>
      <c r="AO27" s="0" t="n">
        <f aca="true" t="array" ref="AO27:AO27">IF($A27="S",IF(BM!$I27=0,0,CHOOSE(MATCH(RegimeExecucao,{"Global","Unitário"},0),ROUND(ROUND(BM.MEDAcumulado,15-13*BM!$A$9)/100*BM!$I27,15-13*ORÇAMENTO!$AF$11),ROUND(ROUND(BM.MEDAcumulado,15-13*BM!$A$9)*ROUND(BM!$H27,15-13*ORÇAMENTO!$AF$10),15-13*ORÇAMENTO!$AF$11))),IF($A27=0,0,ROUND(SomaAgrupBM,15-13*ORÇAMENTO!$AF$11)))</f>
        <v>0</v>
      </c>
    </row>
    <row r="28" customFormat="false" ht="12.75" hidden="false" customHeight="false" outlineLevel="0" collapsed="false">
      <c r="A28" s="0" t="n">
        <f aca="false">ORÇAMENTO!C28</f>
        <v>2</v>
      </c>
      <c r="B28" s="0" t="n">
        <f aca="false">ORÇAMENTO!D28</f>
        <v>4</v>
      </c>
      <c r="C28" s="204" t="str">
        <f aca="false">IF(OR($I28&gt;0,$A28=1,$A28=2,$A28=3,$A28=4),"F","")</f>
        <v>F</v>
      </c>
      <c r="D28" s="207" t="str">
        <f aca="false">ORÇAMENTO!O28</f>
        <v>1.5.</v>
      </c>
      <c r="E28" s="343" t="str">
        <f aca="false">ORÇAMENTO.Descricao</f>
        <v>MOVIMENTAÇÃO DE TERRA</v>
      </c>
      <c r="F28" s="344" t="str">
        <f aca="true" t="array" ref="F28:F28">IF(RegimeExecucao="Global","",ORÇAMENTO.Unidade)</f>
        <v>-</v>
      </c>
      <c r="G28" s="212" t="n">
        <f aca="true" t="array" ref="G28:G28">IF(RegimeExecucao="Global","",ORÇAMENTO!T28)</f>
        <v>0</v>
      </c>
      <c r="H28" s="212" t="n">
        <f aca="true" t="array" ref="H28:H28">IF(RegimeExecucao="Global","",ORÇAMENTO!W28)</f>
        <v>0</v>
      </c>
      <c r="I28" s="215" t="n">
        <f aca="false">ORÇAMENTO!X28</f>
        <v>0</v>
      </c>
      <c r="J28" s="636" t="n">
        <f aca="true" t="array" ref="J28:J28">IF($A28="S",IF(CAIXA.Modo,BM.AFAnterior,BM.MEDAnterior),IF(AND(RegimeExecucao="Global",$I28&gt;0,COUNTIF($AB$13:$AM$13,BM.medicao-1)&gt;0),M28/$I28*100,0))</f>
        <v>0</v>
      </c>
      <c r="K28" s="212" t="n">
        <f aca="false">L28-J28</f>
        <v>0</v>
      </c>
      <c r="L28" s="637" t="n">
        <f aca="true" t="array" ref="L28:L28">IF($A28="S",IF(CAIXA.Modo,BM.AFAcumulado,BM.MEDAcumulado),IF(AND(RegimeExecucao="Global",$I28&gt;0,COUNTIF($AB$13:$AM$13,BM.medicao)&gt;0),O28/$I28*100,0))</f>
        <v>0</v>
      </c>
      <c r="M28" s="638" t="n">
        <f aca="true" t="array" ref="M28:M28">IF($A28="S",VTOTALBM,IF($A28=0,0,ROUND(SomaAgrupBM,15-13*ORÇAMENTO!$AF$11)))</f>
        <v>0</v>
      </c>
      <c r="N28" s="224" t="n">
        <f aca="false">O28-M28</f>
        <v>0</v>
      </c>
      <c r="O28" s="215" t="n">
        <f aca="true" t="array" ref="O28:O28">IF($A28="S",VTOTALBM,IF($A28=0,0,ROUND(SomaAgrupBM,15-13*ORÇAMENTO!$AF$11)))</f>
        <v>0</v>
      </c>
      <c r="Q28" s="639"/>
      <c r="R28" s="640"/>
      <c r="T28" s="207" t="str">
        <f aca="false">IF($W28&gt;0,$D28,"")</f>
        <v/>
      </c>
      <c r="U28" s="343" t="str">
        <f aca="false">IF($W28&gt;0,$E28,"")</f>
        <v/>
      </c>
      <c r="V28" s="344" t="str">
        <f aca="true" t="array" ref="V28:V28">IF(AND($W28&gt;0,RegimeExecucao="Unitário"),$F28,"")</f>
        <v/>
      </c>
      <c r="W28" s="641" t="n">
        <f aca="true" t="array" ref="W28:W28">IF($Y28&gt;0,CHOOSE(MATCH(RegimeExecucao,{"Unitário","Global"},0),IF($A28="S",$Y28/$X28,""),($Y28/$X28)*100),0)</f>
        <v>0</v>
      </c>
      <c r="X28" s="642" t="str">
        <f aca="true" t="array" ref="X28:X28">IF($Y28&gt;0,CHOOSE(MATCH(RegimeExecucao,{"Unitário","Global"},0),IF($A28="S",ROUND($H28,ORÇAMENTO!$AF$10),""),ROUND($I28,ORÇAMENTO!$AF$11)),"")</f>
        <v/>
      </c>
      <c r="Y28" s="642" t="n">
        <f aca="false">AO28-O28</f>
        <v>0</v>
      </c>
      <c r="Z28" s="643"/>
      <c r="AB28" s="639"/>
      <c r="AC28" s="644"/>
      <c r="AD28" s="644"/>
      <c r="AE28" s="644"/>
      <c r="AF28" s="644"/>
      <c r="AG28" s="644"/>
      <c r="AH28" s="644"/>
      <c r="AI28" s="644"/>
      <c r="AJ28" s="644"/>
      <c r="AK28" s="644"/>
      <c r="AL28" s="644"/>
      <c r="AM28" s="640"/>
      <c r="AO28" s="0" t="n">
        <f aca="true" t="array" ref="AO28:AO28">IF($A28="S",IF(BM!$I28=0,0,CHOOSE(MATCH(RegimeExecucao,{"Global","Unitário"},0),ROUND(ROUND(BM.MEDAcumulado,15-13*BM!$A$9)/100*BM!$I28,15-13*ORÇAMENTO!$AF$11),ROUND(ROUND(BM.MEDAcumulado,15-13*BM!$A$9)*ROUND(BM!$H28,15-13*ORÇAMENTO!$AF$10),15-13*ORÇAMENTO!$AF$11))),IF($A28=0,0,ROUND(SomaAgrupBM,15-13*ORÇAMENTO!$AF$11)))</f>
        <v>0</v>
      </c>
    </row>
    <row r="29" customFormat="false" ht="12.75" hidden="false" customHeight="false" outlineLevel="0" collapsed="false">
      <c r="A29" s="0" t="str">
        <f aca="false">ORÇAMENTO!C29</f>
        <v>S</v>
      </c>
      <c r="B29" s="0" t="n">
        <f aca="false">ORÇAMENTO!D29</f>
        <v>0</v>
      </c>
      <c r="C29" s="204" t="str">
        <f aca="false">IF(OR($I29&gt;0,$A29=1,$A29=2,$A29=3,$A29=4),"F","")</f>
        <v/>
      </c>
      <c r="D29" s="207" t="str">
        <f aca="false">ORÇAMENTO!O29</f>
        <v>-</v>
      </c>
      <c r="E29" s="343" t="str">
        <f aca="false">ORÇAMENTO.Descricao</f>
        <v>(Código não identificado nas referências)</v>
      </c>
      <c r="F29" s="344" t="str">
        <f aca="true" t="array" ref="F29:F29">IF(RegimeExecucao="Global","",ORÇAMENTO.Unidade)</f>
        <v>M3</v>
      </c>
      <c r="G29" s="212" t="n">
        <f aca="true" t="array" ref="G29:G29">IF(RegimeExecucao="Global","",ORÇAMENTO!T29)</f>
        <v>317.27</v>
      </c>
      <c r="H29" s="212" t="n">
        <f aca="true" t="array" ref="H29:H29">IF(RegimeExecucao="Global","",ORÇAMENTO!W29)</f>
        <v>0</v>
      </c>
      <c r="I29" s="215" t="n">
        <f aca="false">ORÇAMENTO!X29</f>
        <v>0</v>
      </c>
      <c r="J29" s="636" t="n">
        <f aca="true" t="array" ref="J29:J29">IF($A29="S",IF(CAIXA.Modo,BM.AFAnterior,BM.MEDAnterior),IF(AND(RegimeExecucao="Global",$I29&gt;0,COUNTIF($AB$13:$AM$13,BM.medicao-1)&gt;0),M29/$I29*100,0))</f>
        <v>0</v>
      </c>
      <c r="K29" s="212" t="n">
        <f aca="false">L29-J29</f>
        <v>0</v>
      </c>
      <c r="L29" s="637" t="n">
        <f aca="true" t="array" ref="L29:L29">IF($A29="S",IF(CAIXA.Modo,BM.AFAcumulado,BM.MEDAcumulado),IF(AND(RegimeExecucao="Global",$I29&gt;0,COUNTIF($AB$13:$AM$13,BM.medicao)&gt;0),O29/$I29*100,0))</f>
        <v>0</v>
      </c>
      <c r="M29" s="638" t="n">
        <f aca="true" t="array" ref="M29:M29">IF($A29="S",VTOTALBM,IF($A29=0,0,ROUND(SomaAgrupBM,15-13*ORÇAMENTO!$AF$11)))</f>
        <v>0</v>
      </c>
      <c r="N29" s="224" t="n">
        <f aca="false">O29-M29</f>
        <v>0</v>
      </c>
      <c r="O29" s="215" t="n">
        <f aca="true" t="array" ref="O29:O29">IF($A29="S",VTOTALBM,IF($A29=0,0,ROUND(SomaAgrupBM,15-13*ORÇAMENTO!$AF$11)))</f>
        <v>0</v>
      </c>
      <c r="Q29" s="639"/>
      <c r="R29" s="640"/>
      <c r="T29" s="207" t="str">
        <f aca="false">IF($W29&gt;0,$D29,"")</f>
        <v/>
      </c>
      <c r="U29" s="343" t="str">
        <f aca="false">IF($W29&gt;0,$E29,"")</f>
        <v/>
      </c>
      <c r="V29" s="344" t="str">
        <f aca="true" t="array" ref="V29:V29">IF(AND($W29&gt;0,RegimeExecucao="Unitário"),$F29,"")</f>
        <v/>
      </c>
      <c r="W29" s="641" t="n">
        <f aca="true" t="array" ref="W29:W29">IF($Y29&gt;0,CHOOSE(MATCH(RegimeExecucao,{"Unitário","Global"},0),IF($A29="S",$Y29/$X29,""),($Y29/$X29)*100),0)</f>
        <v>0</v>
      </c>
      <c r="X29" s="642" t="str">
        <f aca="true" t="array" ref="X29:X29">IF($Y29&gt;0,CHOOSE(MATCH(RegimeExecucao,{"Unitário","Global"},0),IF($A29="S",ROUND($H29,ORÇAMENTO!$AF$10),""),ROUND($I29,ORÇAMENTO!$AF$11)),"")</f>
        <v/>
      </c>
      <c r="Y29" s="642" t="n">
        <f aca="false">AO29-O29</f>
        <v>0</v>
      </c>
      <c r="Z29" s="643"/>
      <c r="AB29" s="639"/>
      <c r="AC29" s="644"/>
      <c r="AD29" s="644"/>
      <c r="AE29" s="644"/>
      <c r="AF29" s="644"/>
      <c r="AG29" s="644"/>
      <c r="AH29" s="644"/>
      <c r="AI29" s="644"/>
      <c r="AJ29" s="644"/>
      <c r="AK29" s="644"/>
      <c r="AL29" s="644"/>
      <c r="AM29" s="640"/>
      <c r="AO29" s="0" t="n">
        <f aca="true" t="array" ref="AO29:AO29">IF($A29="S",IF(BM!$I29=0,0,CHOOSE(MATCH(RegimeExecucao,{"Global","Unitário"},0),ROUND(ROUND(BM.MEDAcumulado,15-13*BM!$A$9)/100*BM!$I29,15-13*ORÇAMENTO!$AF$11),ROUND(ROUND(BM.MEDAcumulado,15-13*BM!$A$9)*ROUND(BM!$H29,15-13*ORÇAMENTO!$AF$10),15-13*ORÇAMENTO!$AF$11))),IF($A29=0,0,ROUND(SomaAgrupBM,15-13*ORÇAMENTO!$AF$11)))</f>
        <v>0</v>
      </c>
    </row>
    <row r="30" customFormat="false" ht="12.75" hidden="false" customHeight="false" outlineLevel="0" collapsed="false">
      <c r="A30" s="0" t="str">
        <f aca="false">ORÇAMENTO!C30</f>
        <v>S</v>
      </c>
      <c r="B30" s="0" t="n">
        <f aca="false">ORÇAMENTO!D30</f>
        <v>0</v>
      </c>
      <c r="C30" s="204" t="str">
        <f aca="false">IF(OR($I30&gt;0,$A30=1,$A30=2,$A30=3,$A30=4),"F","")</f>
        <v/>
      </c>
      <c r="D30" s="207" t="str">
        <f aca="false">ORÇAMENTO!O30</f>
        <v>-</v>
      </c>
      <c r="E30" s="343" t="str">
        <f aca="false">ORÇAMENTO.Descricao</f>
        <v>(Código não identificado nas referências)</v>
      </c>
      <c r="F30" s="344" t="str">
        <f aca="true" t="array" ref="F30:F30">IF(RegimeExecucao="Global","",ORÇAMENTO.Unidade)</f>
        <v>-</v>
      </c>
      <c r="G30" s="212" t="n">
        <f aca="true" t="array" ref="G30:G30">IF(RegimeExecucao="Global","",ORÇAMENTO!T30)</f>
        <v>317.27</v>
      </c>
      <c r="H30" s="212" t="n">
        <f aca="true" t="array" ref="H30:H30">IF(RegimeExecucao="Global","",ORÇAMENTO!W30)</f>
        <v>0</v>
      </c>
      <c r="I30" s="215" t="n">
        <f aca="false">ORÇAMENTO!X30</f>
        <v>0</v>
      </c>
      <c r="J30" s="636" t="n">
        <f aca="true" t="array" ref="J30:J30">IF($A30="S",IF(CAIXA.Modo,BM.AFAnterior,BM.MEDAnterior),IF(AND(RegimeExecucao="Global",$I30&gt;0,COUNTIF($AB$13:$AM$13,BM.medicao-1)&gt;0),M30/$I30*100,0))</f>
        <v>0</v>
      </c>
      <c r="K30" s="212" t="n">
        <f aca="false">L30-J30</f>
        <v>0</v>
      </c>
      <c r="L30" s="637" t="n">
        <f aca="true" t="array" ref="L30:L30">IF($A30="S",IF(CAIXA.Modo,BM.AFAcumulado,BM.MEDAcumulado),IF(AND(RegimeExecucao="Global",$I30&gt;0,COUNTIF($AB$13:$AM$13,BM.medicao)&gt;0),O30/$I30*100,0))</f>
        <v>0</v>
      </c>
      <c r="M30" s="638" t="n">
        <f aca="true" t="array" ref="M30:M30">IF($A30="S",VTOTALBM,IF($A30=0,0,ROUND(SomaAgrupBM,15-13*ORÇAMENTO!$AF$11)))</f>
        <v>0</v>
      </c>
      <c r="N30" s="224" t="n">
        <f aca="false">O30-M30</f>
        <v>0</v>
      </c>
      <c r="O30" s="215" t="n">
        <f aca="true" t="array" ref="O30:O30">IF($A30="S",VTOTALBM,IF($A30=0,0,ROUND(SomaAgrupBM,15-13*ORÇAMENTO!$AF$11)))</f>
        <v>0</v>
      </c>
      <c r="Q30" s="639"/>
      <c r="R30" s="640"/>
      <c r="T30" s="207" t="str">
        <f aca="false">IF($W30&gt;0,$D30,"")</f>
        <v/>
      </c>
      <c r="U30" s="343" t="str">
        <f aca="false">IF($W30&gt;0,$E30,"")</f>
        <v/>
      </c>
      <c r="V30" s="344" t="str">
        <f aca="true" t="array" ref="V30:V30">IF(AND($W30&gt;0,RegimeExecucao="Unitário"),$F30,"")</f>
        <v/>
      </c>
      <c r="W30" s="641" t="n">
        <f aca="true" t="array" ref="W30:W30">IF($Y30&gt;0,CHOOSE(MATCH(RegimeExecucao,{"Unitário","Global"},0),IF($A30="S",$Y30/$X30,""),($Y30/$X30)*100),0)</f>
        <v>0</v>
      </c>
      <c r="X30" s="642" t="str">
        <f aca="true" t="array" ref="X30:X30">IF($Y30&gt;0,CHOOSE(MATCH(RegimeExecucao,{"Unitário","Global"},0),IF($A30="S",ROUND($H30,ORÇAMENTO!$AF$10),""),ROUND($I30,ORÇAMENTO!$AF$11)),"")</f>
        <v/>
      </c>
      <c r="Y30" s="642" t="n">
        <f aca="false">AO30-O30</f>
        <v>0</v>
      </c>
      <c r="Z30" s="643"/>
      <c r="AB30" s="639"/>
      <c r="AC30" s="644"/>
      <c r="AD30" s="644"/>
      <c r="AE30" s="644"/>
      <c r="AF30" s="644"/>
      <c r="AG30" s="644"/>
      <c r="AH30" s="644"/>
      <c r="AI30" s="644"/>
      <c r="AJ30" s="644"/>
      <c r="AK30" s="644"/>
      <c r="AL30" s="644"/>
      <c r="AM30" s="640"/>
      <c r="AO30" s="0" t="n">
        <f aca="true" t="array" ref="AO30:AO30">IF($A30="S",IF(BM!$I30=0,0,CHOOSE(MATCH(RegimeExecucao,{"Global","Unitário"},0),ROUND(ROUND(BM.MEDAcumulado,15-13*BM!$A$9)/100*BM!$I30,15-13*ORÇAMENTO!$AF$11),ROUND(ROUND(BM.MEDAcumulado,15-13*BM!$A$9)*ROUND(BM!$H30,15-13*ORÇAMENTO!$AF$10),15-13*ORÇAMENTO!$AF$11))),IF($A30=0,0,ROUND(SomaAgrupBM,15-13*ORÇAMENTO!$AF$11)))</f>
        <v>0</v>
      </c>
    </row>
    <row r="31" customFormat="false" ht="12.75" hidden="false" customHeight="false" outlineLevel="0" collapsed="false">
      <c r="A31" s="0" t="str">
        <f aca="false">ORÇAMENTO!C31</f>
        <v>S</v>
      </c>
      <c r="B31" s="0" t="n">
        <f aca="false">ORÇAMENTO!D31</f>
        <v>0</v>
      </c>
      <c r="C31" s="204" t="str">
        <f aca="false">IF(OR($I31&gt;0,$A31=1,$A31=2,$A31=3,$A31=4),"F","")</f>
        <v/>
      </c>
      <c r="D31" s="207" t="str">
        <f aca="false">ORÇAMENTO!O31</f>
        <v>-</v>
      </c>
      <c r="E31" s="343" t="str">
        <f aca="false">ORÇAMENTO.Descricao</f>
        <v>(Código não identificado nas referências)</v>
      </c>
      <c r="F31" s="344" t="str">
        <f aca="true" t="array" ref="F31:F31">IF(RegimeExecucao="Global","",ORÇAMENTO.Unidade)</f>
        <v>-</v>
      </c>
      <c r="G31" s="212" t="n">
        <f aca="true" t="array" ref="G31:G31">IF(RegimeExecucao="Global","",ORÇAMENTO!T31)</f>
        <v>4759.05</v>
      </c>
      <c r="H31" s="212" t="n">
        <f aca="true" t="array" ref="H31:H31">IF(RegimeExecucao="Global","",ORÇAMENTO!W31)</f>
        <v>0</v>
      </c>
      <c r="I31" s="215" t="n">
        <f aca="false">ORÇAMENTO!X31</f>
        <v>0</v>
      </c>
      <c r="J31" s="636" t="n">
        <f aca="true" t="array" ref="J31:J31">IF($A31="S",IF(CAIXA.Modo,BM.AFAnterior,BM.MEDAnterior),IF(AND(RegimeExecucao="Global",$I31&gt;0,COUNTIF($AB$13:$AM$13,BM.medicao-1)&gt;0),M31/$I31*100,0))</f>
        <v>0</v>
      </c>
      <c r="K31" s="212" t="n">
        <f aca="false">L31-J31</f>
        <v>0</v>
      </c>
      <c r="L31" s="637" t="n">
        <f aca="true" t="array" ref="L31:L31">IF($A31="S",IF(CAIXA.Modo,BM.AFAcumulado,BM.MEDAcumulado),IF(AND(RegimeExecucao="Global",$I31&gt;0,COUNTIF($AB$13:$AM$13,BM.medicao)&gt;0),O31/$I31*100,0))</f>
        <v>0</v>
      </c>
      <c r="M31" s="638" t="n">
        <f aca="true" t="array" ref="M31:M31">IF($A31="S",VTOTALBM,IF($A31=0,0,ROUND(SomaAgrupBM,15-13*ORÇAMENTO!$AF$11)))</f>
        <v>0</v>
      </c>
      <c r="N31" s="224" t="n">
        <f aca="false">O31-M31</f>
        <v>0</v>
      </c>
      <c r="O31" s="215" t="n">
        <f aca="true" t="array" ref="O31:O31">IF($A31="S",VTOTALBM,IF($A31=0,0,ROUND(SomaAgrupBM,15-13*ORÇAMENTO!$AF$11)))</f>
        <v>0</v>
      </c>
      <c r="Q31" s="639"/>
      <c r="R31" s="640"/>
      <c r="T31" s="207" t="str">
        <f aca="false">IF($W31&gt;0,$D31,"")</f>
        <v/>
      </c>
      <c r="U31" s="343" t="str">
        <f aca="false">IF($W31&gt;0,$E31,"")</f>
        <v/>
      </c>
      <c r="V31" s="344" t="str">
        <f aca="true" t="array" ref="V31:V31">IF(AND($W31&gt;0,RegimeExecucao="Unitário"),$F31,"")</f>
        <v/>
      </c>
      <c r="W31" s="641" t="n">
        <f aca="true" t="array" ref="W31:W31">IF($Y31&gt;0,CHOOSE(MATCH(RegimeExecucao,{"Unitário","Global"},0),IF($A31="S",$Y31/$X31,""),($Y31/$X31)*100),0)</f>
        <v>0</v>
      </c>
      <c r="X31" s="642" t="str">
        <f aca="true" t="array" ref="X31:X31">IF($Y31&gt;0,CHOOSE(MATCH(RegimeExecucao,{"Unitário","Global"},0),IF($A31="S",ROUND($H31,ORÇAMENTO!$AF$10),""),ROUND($I31,ORÇAMENTO!$AF$11)),"")</f>
        <v/>
      </c>
      <c r="Y31" s="642" t="n">
        <f aca="false">AO31-O31</f>
        <v>0</v>
      </c>
      <c r="Z31" s="643"/>
      <c r="AB31" s="639"/>
      <c r="AC31" s="644"/>
      <c r="AD31" s="644"/>
      <c r="AE31" s="644"/>
      <c r="AF31" s="644"/>
      <c r="AG31" s="644"/>
      <c r="AH31" s="644"/>
      <c r="AI31" s="644"/>
      <c r="AJ31" s="644"/>
      <c r="AK31" s="644"/>
      <c r="AL31" s="644"/>
      <c r="AM31" s="640"/>
      <c r="AO31" s="0" t="n">
        <f aca="true" t="array" ref="AO31:AO31">IF($A31="S",IF(BM!$I31=0,0,CHOOSE(MATCH(RegimeExecucao,{"Global","Unitário"},0),ROUND(ROUND(BM.MEDAcumulado,15-13*BM!$A$9)/100*BM!$I31,15-13*ORÇAMENTO!$AF$11),ROUND(ROUND(BM.MEDAcumulado,15-13*BM!$A$9)*ROUND(BM!$H31,15-13*ORÇAMENTO!$AF$10),15-13*ORÇAMENTO!$AF$11))),IF($A31=0,0,ROUND(SomaAgrupBM,15-13*ORÇAMENTO!$AF$11)))</f>
        <v>0</v>
      </c>
    </row>
    <row r="32" customFormat="false" ht="12.75" hidden="false" customHeight="false" outlineLevel="0" collapsed="false">
      <c r="A32" s="0" t="n">
        <f aca="false">ORÇAMENTO!C32</f>
        <v>2</v>
      </c>
      <c r="B32" s="0" t="n">
        <f aca="false">ORÇAMENTO!D32</f>
        <v>6</v>
      </c>
      <c r="C32" s="204" t="str">
        <f aca="false">IF(OR($I32&gt;0,$A32=1,$A32=2,$A32=3,$A32=4),"F","")</f>
        <v>F</v>
      </c>
      <c r="D32" s="207" t="str">
        <f aca="false">ORÇAMENTO!O32</f>
        <v>1.6.</v>
      </c>
      <c r="E32" s="343" t="str">
        <f aca="false">ORÇAMENTO.Descricao</f>
        <v>PLATAFORMA</v>
      </c>
      <c r="F32" s="344" t="str">
        <f aca="true" t="array" ref="F32:F32">IF(RegimeExecucao="Global","",ORÇAMENTO.Unidade)</f>
        <v>-</v>
      </c>
      <c r="G32" s="212" t="n">
        <f aca="true" t="array" ref="G32:G32">IF(RegimeExecucao="Global","",ORÇAMENTO!T32)</f>
        <v>0</v>
      </c>
      <c r="H32" s="212" t="n">
        <f aca="true" t="array" ref="H32:H32">IF(RegimeExecucao="Global","",ORÇAMENTO!W32)</f>
        <v>0</v>
      </c>
      <c r="I32" s="215" t="n">
        <f aca="false">ORÇAMENTO!X32</f>
        <v>0</v>
      </c>
      <c r="J32" s="636" t="n">
        <f aca="true" t="array" ref="J32:J32">IF($A32="S",IF(CAIXA.Modo,BM.AFAnterior,BM.MEDAnterior),IF(AND(RegimeExecucao="Global",$I32&gt;0,COUNTIF($AB$13:$AM$13,BM.medicao-1)&gt;0),M32/$I32*100,0))</f>
        <v>0</v>
      </c>
      <c r="K32" s="212" t="n">
        <f aca="false">L32-J32</f>
        <v>0</v>
      </c>
      <c r="L32" s="637" t="n">
        <f aca="true" t="array" ref="L32:L32">IF($A32="S",IF(CAIXA.Modo,BM.AFAcumulado,BM.MEDAcumulado),IF(AND(RegimeExecucao="Global",$I32&gt;0,COUNTIF($AB$13:$AM$13,BM.medicao)&gt;0),O32/$I32*100,0))</f>
        <v>0</v>
      </c>
      <c r="M32" s="638" t="n">
        <f aca="true" t="array" ref="M32:M32">IF($A32="S",VTOTALBM,IF($A32=0,0,ROUND(SomaAgrupBM,15-13*ORÇAMENTO!$AF$11)))</f>
        <v>0</v>
      </c>
      <c r="N32" s="224" t="n">
        <f aca="false">O32-M32</f>
        <v>0</v>
      </c>
      <c r="O32" s="215" t="n">
        <f aca="true" t="array" ref="O32:O32">IF($A32="S",VTOTALBM,IF($A32=0,0,ROUND(SomaAgrupBM,15-13*ORÇAMENTO!$AF$11)))</f>
        <v>0</v>
      </c>
      <c r="Q32" s="639"/>
      <c r="R32" s="640"/>
      <c r="T32" s="207" t="str">
        <f aca="false">IF($W32&gt;0,$D32,"")</f>
        <v/>
      </c>
      <c r="U32" s="343" t="str">
        <f aca="false">IF($W32&gt;0,$E32,"")</f>
        <v/>
      </c>
      <c r="V32" s="344" t="str">
        <f aca="true" t="array" ref="V32:V32">IF(AND($W32&gt;0,RegimeExecucao="Unitário"),$F32,"")</f>
        <v/>
      </c>
      <c r="W32" s="641" t="n">
        <f aca="true" t="array" ref="W32:W32">IF($Y32&gt;0,CHOOSE(MATCH(RegimeExecucao,{"Unitário","Global"},0),IF($A32="S",$Y32/$X32,""),($Y32/$X32)*100),0)</f>
        <v>0</v>
      </c>
      <c r="X32" s="642" t="str">
        <f aca="true" t="array" ref="X32:X32">IF($Y32&gt;0,CHOOSE(MATCH(RegimeExecucao,{"Unitário","Global"},0),IF($A32="S",ROUND($H32,ORÇAMENTO!$AF$10),""),ROUND($I32,ORÇAMENTO!$AF$11)),"")</f>
        <v/>
      </c>
      <c r="Y32" s="642" t="n">
        <f aca="false">AO32-O32</f>
        <v>0</v>
      </c>
      <c r="Z32" s="643"/>
      <c r="AB32" s="639"/>
      <c r="AC32" s="644"/>
      <c r="AD32" s="644"/>
      <c r="AE32" s="644"/>
      <c r="AF32" s="644"/>
      <c r="AG32" s="644"/>
      <c r="AH32" s="644"/>
      <c r="AI32" s="644"/>
      <c r="AJ32" s="644"/>
      <c r="AK32" s="644"/>
      <c r="AL32" s="644"/>
      <c r="AM32" s="640"/>
      <c r="AO32" s="0" t="n">
        <f aca="true" t="array" ref="AO32:AO32">IF($A32="S",IF(BM!$I32=0,0,CHOOSE(MATCH(RegimeExecucao,{"Global","Unitário"},0),ROUND(ROUND(BM.MEDAcumulado,15-13*BM!$A$9)/100*BM!$I32,15-13*ORÇAMENTO!$AF$11),ROUND(ROUND(BM.MEDAcumulado,15-13*BM!$A$9)*ROUND(BM!$H32,15-13*ORÇAMENTO!$AF$10),15-13*ORÇAMENTO!$AF$11))),IF($A32=0,0,ROUND(SomaAgrupBM,15-13*ORÇAMENTO!$AF$11)))</f>
        <v>0</v>
      </c>
    </row>
    <row r="33" customFormat="false" ht="12.75" hidden="false" customHeight="false" outlineLevel="0" collapsed="false">
      <c r="A33" s="0" t="str">
        <f aca="false">ORÇAMENTO!C33</f>
        <v>S</v>
      </c>
      <c r="B33" s="0" t="n">
        <f aca="false">ORÇAMENTO!D33</f>
        <v>0</v>
      </c>
      <c r="C33" s="204" t="str">
        <f aca="false">IF(OR($I33&gt;0,$A33=1,$A33=2,$A33=3,$A33=4),"F","")</f>
        <v/>
      </c>
      <c r="D33" s="207" t="str">
        <f aca="false">ORÇAMENTO!O33</f>
        <v>-</v>
      </c>
      <c r="E33" s="343" t="str">
        <f aca="false">ORÇAMENTO.Descricao</f>
        <v>(Código não identificado nas referências)</v>
      </c>
      <c r="F33" s="344" t="str">
        <f aca="true" t="array" ref="F33:F33">IF(RegimeExecucao="Global","",ORÇAMENTO.Unidade)</f>
        <v>-</v>
      </c>
      <c r="G33" s="212" t="n">
        <f aca="true" t="array" ref="G33:G33">IF(RegimeExecucao="Global","",ORÇAMENTO!T33)</f>
        <v>186</v>
      </c>
      <c r="H33" s="212" t="n">
        <f aca="true" t="array" ref="H33:H33">IF(RegimeExecucao="Global","",ORÇAMENTO!W33)</f>
        <v>0</v>
      </c>
      <c r="I33" s="215" t="n">
        <f aca="false">ORÇAMENTO!X33</f>
        <v>0</v>
      </c>
      <c r="J33" s="636" t="n">
        <f aca="true" t="array" ref="J33:J33">IF($A33="S",IF(CAIXA.Modo,BM.AFAnterior,BM.MEDAnterior),IF(AND(RegimeExecucao="Global",$I33&gt;0,COUNTIF($AB$13:$AM$13,BM.medicao-1)&gt;0),M33/$I33*100,0))</f>
        <v>0</v>
      </c>
      <c r="K33" s="212" t="n">
        <f aca="false">L33-J33</f>
        <v>0</v>
      </c>
      <c r="L33" s="637" t="n">
        <f aca="true" t="array" ref="L33:L33">IF($A33="S",IF(CAIXA.Modo,BM.AFAcumulado,BM.MEDAcumulado),IF(AND(RegimeExecucao="Global",$I33&gt;0,COUNTIF($AB$13:$AM$13,BM.medicao)&gt;0),O33/$I33*100,0))</f>
        <v>0</v>
      </c>
      <c r="M33" s="638" t="n">
        <f aca="true" t="array" ref="M33:M33">IF($A33="S",VTOTALBM,IF($A33=0,0,ROUND(SomaAgrupBM,15-13*ORÇAMENTO!$AF$11)))</f>
        <v>0</v>
      </c>
      <c r="N33" s="224" t="n">
        <f aca="false">O33-M33</f>
        <v>0</v>
      </c>
      <c r="O33" s="215" t="n">
        <f aca="true" t="array" ref="O33:O33">IF($A33="S",VTOTALBM,IF($A33=0,0,ROUND(SomaAgrupBM,15-13*ORÇAMENTO!$AF$11)))</f>
        <v>0</v>
      </c>
      <c r="Q33" s="639"/>
      <c r="R33" s="640"/>
      <c r="T33" s="207" t="str">
        <f aca="false">IF($W33&gt;0,$D33,"")</f>
        <v/>
      </c>
      <c r="U33" s="343" t="str">
        <f aca="false">IF($W33&gt;0,$E33,"")</f>
        <v/>
      </c>
      <c r="V33" s="344" t="str">
        <f aca="true" t="array" ref="V33:V33">IF(AND($W33&gt;0,RegimeExecucao="Unitário"),$F33,"")</f>
        <v/>
      </c>
      <c r="W33" s="641" t="n">
        <f aca="true" t="array" ref="W33:W33">IF($Y33&gt;0,CHOOSE(MATCH(RegimeExecucao,{"Unitário","Global"},0),IF($A33="S",$Y33/$X33,""),($Y33/$X33)*100),0)</f>
        <v>0</v>
      </c>
      <c r="X33" s="642" t="str">
        <f aca="true" t="array" ref="X33:X33">IF($Y33&gt;0,CHOOSE(MATCH(RegimeExecucao,{"Unitário","Global"},0),IF($A33="S",ROUND($H33,ORÇAMENTO!$AF$10),""),ROUND($I33,ORÇAMENTO!$AF$11)),"")</f>
        <v/>
      </c>
      <c r="Y33" s="642" t="n">
        <f aca="false">AO33-O33</f>
        <v>0</v>
      </c>
      <c r="Z33" s="643"/>
      <c r="AB33" s="639"/>
      <c r="AC33" s="644"/>
      <c r="AD33" s="644"/>
      <c r="AE33" s="644"/>
      <c r="AF33" s="644"/>
      <c r="AG33" s="644"/>
      <c r="AH33" s="644"/>
      <c r="AI33" s="644"/>
      <c r="AJ33" s="644"/>
      <c r="AK33" s="644"/>
      <c r="AL33" s="644"/>
      <c r="AM33" s="640"/>
      <c r="AO33" s="0" t="n">
        <f aca="true" t="array" ref="AO33:AO33">IF($A33="S",IF(BM!$I33=0,0,CHOOSE(MATCH(RegimeExecucao,{"Global","Unitário"},0),ROUND(ROUND(BM.MEDAcumulado,15-13*BM!$A$9)/100*BM!$I33,15-13*ORÇAMENTO!$AF$11),ROUND(ROUND(BM.MEDAcumulado,15-13*BM!$A$9)*ROUND(BM!$H33,15-13*ORÇAMENTO!$AF$10),15-13*ORÇAMENTO!$AF$11))),IF($A33=0,0,ROUND(SomaAgrupBM,15-13*ORÇAMENTO!$AF$11)))</f>
        <v>0</v>
      </c>
    </row>
    <row r="34" customFormat="false" ht="12.75" hidden="false" customHeight="false" outlineLevel="0" collapsed="false">
      <c r="A34" s="0" t="str">
        <f aca="false">ORÇAMENTO!C34</f>
        <v>S</v>
      </c>
      <c r="B34" s="0" t="n">
        <f aca="false">ORÇAMENTO!D34</f>
        <v>0</v>
      </c>
      <c r="C34" s="204" t="str">
        <f aca="false">IF(OR($I34&gt;0,$A34=1,$A34=2,$A34=3,$A34=4),"F","")</f>
        <v/>
      </c>
      <c r="D34" s="207" t="str">
        <f aca="false">ORÇAMENTO!O34</f>
        <v>-</v>
      </c>
      <c r="E34" s="343" t="str">
        <f aca="false">ORÇAMENTO.Descricao</f>
        <v>(Código não identificado nas referências)</v>
      </c>
      <c r="F34" s="344" t="str">
        <f aca="true" t="array" ref="F34:F34">IF(RegimeExecucao="Global","",ORÇAMENTO.Unidade)</f>
        <v>-</v>
      </c>
      <c r="G34" s="212" t="n">
        <f aca="true" t="array" ref="G34:G34">IF(RegimeExecucao="Global","",ORÇAMENTO!T34)</f>
        <v>186</v>
      </c>
      <c r="H34" s="212" t="n">
        <f aca="true" t="array" ref="H34:H34">IF(RegimeExecucao="Global","",ORÇAMENTO!W34)</f>
        <v>0</v>
      </c>
      <c r="I34" s="215" t="n">
        <f aca="false">ORÇAMENTO!X34</f>
        <v>0</v>
      </c>
      <c r="J34" s="636" t="n">
        <f aca="true" t="array" ref="J34:J34">IF($A34="S",IF(CAIXA.Modo,BM.AFAnterior,BM.MEDAnterior),IF(AND(RegimeExecucao="Global",$I34&gt;0,COUNTIF($AB$13:$AM$13,BM.medicao-1)&gt;0),M34/$I34*100,0))</f>
        <v>0</v>
      </c>
      <c r="K34" s="212" t="n">
        <f aca="false">L34-J34</f>
        <v>0</v>
      </c>
      <c r="L34" s="637" t="n">
        <f aca="true" t="array" ref="L34:L34">IF($A34="S",IF(CAIXA.Modo,BM.AFAcumulado,BM.MEDAcumulado),IF(AND(RegimeExecucao="Global",$I34&gt;0,COUNTIF($AB$13:$AM$13,BM.medicao)&gt;0),O34/$I34*100,0))</f>
        <v>0</v>
      </c>
      <c r="M34" s="638" t="n">
        <f aca="true" t="array" ref="M34:M34">IF($A34="S",VTOTALBM,IF($A34=0,0,ROUND(SomaAgrupBM,15-13*ORÇAMENTO!$AF$11)))</f>
        <v>0</v>
      </c>
      <c r="N34" s="224" t="n">
        <f aca="false">O34-M34</f>
        <v>0</v>
      </c>
      <c r="O34" s="215" t="n">
        <f aca="true" t="array" ref="O34:O34">IF($A34="S",VTOTALBM,IF($A34=0,0,ROUND(SomaAgrupBM,15-13*ORÇAMENTO!$AF$11)))</f>
        <v>0</v>
      </c>
      <c r="Q34" s="639"/>
      <c r="R34" s="640"/>
      <c r="T34" s="207" t="str">
        <f aca="false">IF($W34&gt;0,$D34,"")</f>
        <v/>
      </c>
      <c r="U34" s="343" t="str">
        <f aca="false">IF($W34&gt;0,$E34,"")</f>
        <v/>
      </c>
      <c r="V34" s="344" t="str">
        <f aca="true" t="array" ref="V34:V34">IF(AND($W34&gt;0,RegimeExecucao="Unitário"),$F34,"")</f>
        <v/>
      </c>
      <c r="W34" s="641" t="n">
        <f aca="true" t="array" ref="W34:W34">IF($Y34&gt;0,CHOOSE(MATCH(RegimeExecucao,{"Unitário","Global"},0),IF($A34="S",$Y34/$X34,""),($Y34/$X34)*100),0)</f>
        <v>0</v>
      </c>
      <c r="X34" s="642" t="str">
        <f aca="true" t="array" ref="X34:X34">IF($Y34&gt;0,CHOOSE(MATCH(RegimeExecucao,{"Unitário","Global"},0),IF($A34="S",ROUND($H34,ORÇAMENTO!$AF$10),""),ROUND($I34,ORÇAMENTO!$AF$11)),"")</f>
        <v/>
      </c>
      <c r="Y34" s="642" t="n">
        <f aca="false">AO34-O34</f>
        <v>0</v>
      </c>
      <c r="Z34" s="643"/>
      <c r="AB34" s="639"/>
      <c r="AC34" s="644"/>
      <c r="AD34" s="644"/>
      <c r="AE34" s="644"/>
      <c r="AF34" s="644"/>
      <c r="AG34" s="644"/>
      <c r="AH34" s="644"/>
      <c r="AI34" s="644"/>
      <c r="AJ34" s="644"/>
      <c r="AK34" s="644"/>
      <c r="AL34" s="644"/>
      <c r="AM34" s="640"/>
      <c r="AO34" s="0" t="n">
        <f aca="true" t="array" ref="AO34:AO34">IF($A34="S",IF(BM!$I34=0,0,CHOOSE(MATCH(RegimeExecucao,{"Global","Unitário"},0),ROUND(ROUND(BM.MEDAcumulado,15-13*BM!$A$9)/100*BM!$I34,15-13*ORÇAMENTO!$AF$11),ROUND(ROUND(BM.MEDAcumulado,15-13*BM!$A$9)*ROUND(BM!$H34,15-13*ORÇAMENTO!$AF$10),15-13*ORÇAMENTO!$AF$11))),IF($A34=0,0,ROUND(SomaAgrupBM,15-13*ORÇAMENTO!$AF$11)))</f>
        <v>0</v>
      </c>
    </row>
    <row r="35" customFormat="false" ht="12.75" hidden="false" customHeight="false" outlineLevel="0" collapsed="false">
      <c r="A35" s="0" t="str">
        <f aca="false">ORÇAMENTO!C35</f>
        <v>S</v>
      </c>
      <c r="B35" s="0" t="n">
        <f aca="false">ORÇAMENTO!D35</f>
        <v>0</v>
      </c>
      <c r="C35" s="204" t="str">
        <f aca="false">IF(OR($I35&gt;0,$A35=1,$A35=2,$A35=3,$A35=4),"F","")</f>
        <v/>
      </c>
      <c r="D35" s="207" t="str">
        <f aca="false">ORÇAMENTO!O35</f>
        <v>-</v>
      </c>
      <c r="E35" s="343" t="str">
        <f aca="false">ORÇAMENTO.Descricao</f>
        <v>(Código não identificado nas referências)</v>
      </c>
      <c r="F35" s="344" t="str">
        <f aca="true" t="array" ref="F35:F35">IF(RegimeExecucao="Global","",ORÇAMENTO.Unidade)</f>
        <v>-</v>
      </c>
      <c r="G35" s="212" t="n">
        <f aca="true" t="array" ref="G35:G35">IF(RegimeExecucao="Global","",ORÇAMENTO!T35)</f>
        <v>881.08</v>
      </c>
      <c r="H35" s="212" t="n">
        <f aca="true" t="array" ref="H35:H35">IF(RegimeExecucao="Global","",ORÇAMENTO!W35)</f>
        <v>0</v>
      </c>
      <c r="I35" s="215" t="n">
        <f aca="false">ORÇAMENTO!X35</f>
        <v>0</v>
      </c>
      <c r="J35" s="636" t="n">
        <f aca="true" t="array" ref="J35:J35">IF($A35="S",IF(CAIXA.Modo,BM.AFAnterior,BM.MEDAnterior),IF(AND(RegimeExecucao="Global",$I35&gt;0,COUNTIF($AB$13:$AM$13,BM.medicao-1)&gt;0),M35/$I35*100,0))</f>
        <v>0</v>
      </c>
      <c r="K35" s="212" t="n">
        <f aca="false">L35-J35</f>
        <v>0</v>
      </c>
      <c r="L35" s="637" t="n">
        <f aca="true" t="array" ref="L35:L35">IF($A35="S",IF(CAIXA.Modo,BM.AFAcumulado,BM.MEDAcumulado),IF(AND(RegimeExecucao="Global",$I35&gt;0,COUNTIF($AB$13:$AM$13,BM.medicao)&gt;0),O35/$I35*100,0))</f>
        <v>0</v>
      </c>
      <c r="M35" s="638" t="n">
        <f aca="true" t="array" ref="M35:M35">IF($A35="S",VTOTALBM,IF($A35=0,0,ROUND(SomaAgrupBM,15-13*ORÇAMENTO!$AF$11)))</f>
        <v>0</v>
      </c>
      <c r="N35" s="224" t="n">
        <f aca="false">O35-M35</f>
        <v>0</v>
      </c>
      <c r="O35" s="215" t="n">
        <f aca="true" t="array" ref="O35:O35">IF($A35="S",VTOTALBM,IF($A35=0,0,ROUND(SomaAgrupBM,15-13*ORÇAMENTO!$AF$11)))</f>
        <v>0</v>
      </c>
      <c r="Q35" s="639"/>
      <c r="R35" s="640"/>
      <c r="T35" s="207" t="str">
        <f aca="false">IF($W35&gt;0,$D35,"")</f>
        <v/>
      </c>
      <c r="U35" s="343" t="str">
        <f aca="false">IF($W35&gt;0,$E35,"")</f>
        <v/>
      </c>
      <c r="V35" s="344" t="str">
        <f aca="true" t="array" ref="V35:V35">IF(AND($W35&gt;0,RegimeExecucao="Unitário"),$F35,"")</f>
        <v/>
      </c>
      <c r="W35" s="641" t="n">
        <f aca="true" t="array" ref="W35:W35">IF($Y35&gt;0,CHOOSE(MATCH(RegimeExecucao,{"Unitário","Global"},0),IF($A35="S",$Y35/$X35,""),($Y35/$X35)*100),0)</f>
        <v>0</v>
      </c>
      <c r="X35" s="642" t="str">
        <f aca="true" t="array" ref="X35:X35">IF($Y35&gt;0,CHOOSE(MATCH(RegimeExecucao,{"Unitário","Global"},0),IF($A35="S",ROUND($H35,ORÇAMENTO!$AF$10),""),ROUND($I35,ORÇAMENTO!$AF$11)),"")</f>
        <v/>
      </c>
      <c r="Y35" s="642" t="n">
        <f aca="false">AO35-O35</f>
        <v>0</v>
      </c>
      <c r="Z35" s="643"/>
      <c r="AB35" s="639"/>
      <c r="AC35" s="644"/>
      <c r="AD35" s="644"/>
      <c r="AE35" s="644"/>
      <c r="AF35" s="644"/>
      <c r="AG35" s="644"/>
      <c r="AH35" s="644"/>
      <c r="AI35" s="644"/>
      <c r="AJ35" s="644"/>
      <c r="AK35" s="644"/>
      <c r="AL35" s="644"/>
      <c r="AM35" s="640"/>
      <c r="AO35" s="0" t="n">
        <f aca="true" t="array" ref="AO35:AO35">IF($A35="S",IF(BM!$I35=0,0,CHOOSE(MATCH(RegimeExecucao,{"Global","Unitário"},0),ROUND(ROUND(BM.MEDAcumulado,15-13*BM!$A$9)/100*BM!$I35,15-13*ORÇAMENTO!$AF$11),ROUND(ROUND(BM.MEDAcumulado,15-13*BM!$A$9)*ROUND(BM!$H35,15-13*ORÇAMENTO!$AF$10),15-13*ORÇAMENTO!$AF$11))),IF($A35=0,0,ROUND(SomaAgrupBM,15-13*ORÇAMENTO!$AF$11)))</f>
        <v>0</v>
      </c>
    </row>
    <row r="36" customFormat="false" ht="12.75" hidden="false" customHeight="false" outlineLevel="0" collapsed="false">
      <c r="A36" s="0" t="str">
        <f aca="false">ORÇAMENTO!C36</f>
        <v>S</v>
      </c>
      <c r="B36" s="0" t="n">
        <f aca="false">ORÇAMENTO!D36</f>
        <v>0</v>
      </c>
      <c r="C36" s="204" t="str">
        <f aca="false">IF(OR($I36&gt;0,$A36=1,$A36=2,$A36=3,$A36=4),"F","")</f>
        <v/>
      </c>
      <c r="D36" s="207" t="str">
        <f aca="false">ORÇAMENTO!O36</f>
        <v>-</v>
      </c>
      <c r="E36" s="343" t="str">
        <f aca="false">ORÇAMENTO.Descricao</f>
        <v>(Código não identificado nas referências)</v>
      </c>
      <c r="F36" s="344" t="str">
        <f aca="true" t="array" ref="F36:F36">IF(RegimeExecucao="Global","",ORÇAMENTO.Unidade)</f>
        <v>-</v>
      </c>
      <c r="G36" s="212" t="n">
        <f aca="true" t="array" ref="G36:G36">IF(RegimeExecucao="Global","",ORÇAMENTO!T36)</f>
        <v>973</v>
      </c>
      <c r="H36" s="212" t="n">
        <f aca="true" t="array" ref="H36:H36">IF(RegimeExecucao="Global","",ORÇAMENTO!W36)</f>
        <v>0</v>
      </c>
      <c r="I36" s="215" t="n">
        <f aca="false">ORÇAMENTO!X36</f>
        <v>0</v>
      </c>
      <c r="J36" s="636" t="n">
        <f aca="true" t="array" ref="J36:J36">IF($A36="S",IF(CAIXA.Modo,BM.AFAnterior,BM.MEDAnterior),IF(AND(RegimeExecucao="Global",$I36&gt;0,COUNTIF($AB$13:$AM$13,BM.medicao-1)&gt;0),M36/$I36*100,0))</f>
        <v>0</v>
      </c>
      <c r="K36" s="212" t="n">
        <f aca="false">L36-J36</f>
        <v>0</v>
      </c>
      <c r="L36" s="637" t="n">
        <f aca="true" t="array" ref="L36:L36">IF($A36="S",IF(CAIXA.Modo,BM.AFAcumulado,BM.MEDAcumulado),IF(AND(RegimeExecucao="Global",$I36&gt;0,COUNTIF($AB$13:$AM$13,BM.medicao)&gt;0),O36/$I36*100,0))</f>
        <v>0</v>
      </c>
      <c r="M36" s="638" t="n">
        <f aca="true" t="array" ref="M36:M36">IF($A36="S",VTOTALBM,IF($A36=0,0,ROUND(SomaAgrupBM,15-13*ORÇAMENTO!$AF$11)))</f>
        <v>0</v>
      </c>
      <c r="N36" s="224" t="n">
        <f aca="false">O36-M36</f>
        <v>0</v>
      </c>
      <c r="O36" s="215" t="n">
        <f aca="true" t="array" ref="O36:O36">IF($A36="S",VTOTALBM,IF($A36=0,0,ROUND(SomaAgrupBM,15-13*ORÇAMENTO!$AF$11)))</f>
        <v>0</v>
      </c>
      <c r="Q36" s="639"/>
      <c r="R36" s="640"/>
      <c r="T36" s="207" t="str">
        <f aca="false">IF($W36&gt;0,$D36,"")</f>
        <v/>
      </c>
      <c r="U36" s="343" t="str">
        <f aca="false">IF($W36&gt;0,$E36,"")</f>
        <v/>
      </c>
      <c r="V36" s="344" t="str">
        <f aca="true" t="array" ref="V36:V36">IF(AND($W36&gt;0,RegimeExecucao="Unitário"),$F36,"")</f>
        <v/>
      </c>
      <c r="W36" s="641" t="n">
        <f aca="true" t="array" ref="W36:W36">IF($Y36&gt;0,CHOOSE(MATCH(RegimeExecucao,{"Unitário","Global"},0),IF($A36="S",$Y36/$X36,""),($Y36/$X36)*100),0)</f>
        <v>0</v>
      </c>
      <c r="X36" s="642" t="str">
        <f aca="true" t="array" ref="X36:X36">IF($Y36&gt;0,CHOOSE(MATCH(RegimeExecucao,{"Unitário","Global"},0),IF($A36="S",ROUND($H36,ORÇAMENTO!$AF$10),""),ROUND($I36,ORÇAMENTO!$AF$11)),"")</f>
        <v/>
      </c>
      <c r="Y36" s="642" t="n">
        <f aca="false">AO36-O36</f>
        <v>0</v>
      </c>
      <c r="Z36" s="643"/>
      <c r="AB36" s="639"/>
      <c r="AC36" s="644"/>
      <c r="AD36" s="644"/>
      <c r="AE36" s="644"/>
      <c r="AF36" s="644"/>
      <c r="AG36" s="644"/>
      <c r="AH36" s="644"/>
      <c r="AI36" s="644"/>
      <c r="AJ36" s="644"/>
      <c r="AK36" s="644"/>
      <c r="AL36" s="644"/>
      <c r="AM36" s="640"/>
      <c r="AO36" s="0" t="n">
        <f aca="true" t="array" ref="AO36:AO36">IF($A36="S",IF(BM!$I36=0,0,CHOOSE(MATCH(RegimeExecucao,{"Global","Unitário"},0),ROUND(ROUND(BM.MEDAcumulado,15-13*BM!$A$9)/100*BM!$I36,15-13*ORÇAMENTO!$AF$11),ROUND(ROUND(BM.MEDAcumulado,15-13*BM!$A$9)*ROUND(BM!$H36,15-13*ORÇAMENTO!$AF$10),15-13*ORÇAMENTO!$AF$11))),IF($A36=0,0,ROUND(SomaAgrupBM,15-13*ORÇAMENTO!$AF$11)))</f>
        <v>0</v>
      </c>
    </row>
    <row r="37" customFormat="false" ht="12.75" hidden="false" customHeight="false" outlineLevel="0" collapsed="false">
      <c r="A37" s="0" t="str">
        <f aca="false">ORÇAMENTO!C37</f>
        <v>S</v>
      </c>
      <c r="B37" s="0" t="n">
        <f aca="false">ORÇAMENTO!D37</f>
        <v>0</v>
      </c>
      <c r="C37" s="204" t="str">
        <f aca="false">IF(OR($I37&gt;0,$A37=1,$A37=2,$A37=3,$A37=4),"F","")</f>
        <v/>
      </c>
      <c r="D37" s="207" t="str">
        <f aca="false">ORÇAMENTO!O37</f>
        <v>-</v>
      </c>
      <c r="E37" s="343" t="str">
        <f aca="false">ORÇAMENTO.Descricao</f>
        <v>(Código não identificado nas referências)</v>
      </c>
      <c r="F37" s="344" t="str">
        <f aca="true" t="array" ref="F37:F37">IF(RegimeExecucao="Global","",ORÇAMENTO.Unidade)</f>
        <v>-</v>
      </c>
      <c r="G37" s="212" t="n">
        <f aca="true" t="array" ref="G37:G37">IF(RegimeExecucao="Global","",ORÇAMENTO!T37)</f>
        <v>973</v>
      </c>
      <c r="H37" s="212" t="n">
        <f aca="true" t="array" ref="H37:H37">IF(RegimeExecucao="Global","",ORÇAMENTO!W37)</f>
        <v>0</v>
      </c>
      <c r="I37" s="215" t="n">
        <f aca="false">ORÇAMENTO!X37</f>
        <v>0</v>
      </c>
      <c r="J37" s="636" t="n">
        <f aca="true" t="array" ref="J37:J37">IF($A37="S",IF(CAIXA.Modo,BM.AFAnterior,BM.MEDAnterior),IF(AND(RegimeExecucao="Global",$I37&gt;0,COUNTIF($AB$13:$AM$13,BM.medicao-1)&gt;0),M37/$I37*100,0))</f>
        <v>0</v>
      </c>
      <c r="K37" s="212" t="n">
        <f aca="false">L37-J37</f>
        <v>0</v>
      </c>
      <c r="L37" s="637" t="n">
        <f aca="true" t="array" ref="L37:L37">IF($A37="S",IF(CAIXA.Modo,BM.AFAcumulado,BM.MEDAcumulado),IF(AND(RegimeExecucao="Global",$I37&gt;0,COUNTIF($AB$13:$AM$13,BM.medicao)&gt;0),O37/$I37*100,0))</f>
        <v>0</v>
      </c>
      <c r="M37" s="638" t="n">
        <f aca="true" t="array" ref="M37:M37">IF($A37="S",VTOTALBM,IF($A37=0,0,ROUND(SomaAgrupBM,15-13*ORÇAMENTO!$AF$11)))</f>
        <v>0</v>
      </c>
      <c r="N37" s="224" t="n">
        <f aca="false">O37-M37</f>
        <v>0</v>
      </c>
      <c r="O37" s="215" t="n">
        <f aca="true" t="array" ref="O37:O37">IF($A37="S",VTOTALBM,IF($A37=0,0,ROUND(SomaAgrupBM,15-13*ORÇAMENTO!$AF$11)))</f>
        <v>0</v>
      </c>
      <c r="Q37" s="639"/>
      <c r="R37" s="640"/>
      <c r="T37" s="207" t="str">
        <f aca="false">IF($W37&gt;0,$D37,"")</f>
        <v/>
      </c>
      <c r="U37" s="343" t="str">
        <f aca="false">IF($W37&gt;0,$E37,"")</f>
        <v/>
      </c>
      <c r="V37" s="344" t="str">
        <f aca="true" t="array" ref="V37:V37">IF(AND($W37&gt;0,RegimeExecucao="Unitário"),$F37,"")</f>
        <v/>
      </c>
      <c r="W37" s="641" t="n">
        <f aca="true" t="array" ref="W37:W37">IF($Y37&gt;0,CHOOSE(MATCH(RegimeExecucao,{"Unitário","Global"},0),IF($A37="S",$Y37/$X37,""),($Y37/$X37)*100),0)</f>
        <v>0</v>
      </c>
      <c r="X37" s="642" t="str">
        <f aca="true" t="array" ref="X37:X37">IF($Y37&gt;0,CHOOSE(MATCH(RegimeExecucao,{"Unitário","Global"},0),IF($A37="S",ROUND($H37,ORÇAMENTO!$AF$10),""),ROUND($I37,ORÇAMENTO!$AF$11)),"")</f>
        <v/>
      </c>
      <c r="Y37" s="642" t="n">
        <f aca="false">AO37-O37</f>
        <v>0</v>
      </c>
      <c r="Z37" s="643"/>
      <c r="AB37" s="639"/>
      <c r="AC37" s="644"/>
      <c r="AD37" s="644"/>
      <c r="AE37" s="644"/>
      <c r="AF37" s="644"/>
      <c r="AG37" s="644"/>
      <c r="AH37" s="644"/>
      <c r="AI37" s="644"/>
      <c r="AJ37" s="644"/>
      <c r="AK37" s="644"/>
      <c r="AL37" s="644"/>
      <c r="AM37" s="640"/>
      <c r="AO37" s="0" t="n">
        <f aca="true" t="array" ref="AO37:AO37">IF($A37="S",IF(BM!$I37=0,0,CHOOSE(MATCH(RegimeExecucao,{"Global","Unitário"},0),ROUND(ROUND(BM.MEDAcumulado,15-13*BM!$A$9)/100*BM!$I37,15-13*ORÇAMENTO!$AF$11),ROUND(ROUND(BM.MEDAcumulado,15-13*BM!$A$9)*ROUND(BM!$H37,15-13*ORÇAMENTO!$AF$10),15-13*ORÇAMENTO!$AF$11))),IF($A37=0,0,ROUND(SomaAgrupBM,15-13*ORÇAMENTO!$AF$11)))</f>
        <v>0</v>
      </c>
    </row>
    <row r="38" customFormat="false" ht="12.75" hidden="false" customHeight="false" outlineLevel="0" collapsed="false">
      <c r="A38" s="0" t="n">
        <f aca="false">ORÇAMENTO!C38</f>
        <v>2</v>
      </c>
      <c r="B38" s="0" t="n">
        <f aca="false">ORÇAMENTO!D38</f>
        <v>4</v>
      </c>
      <c r="C38" s="204" t="str">
        <f aca="false">IF(OR($I38&gt;0,$A38=1,$A38=2,$A38=3,$A38=4),"F","")</f>
        <v>F</v>
      </c>
      <c r="D38" s="207" t="str">
        <f aca="false">ORÇAMENTO!O38</f>
        <v>1.7.</v>
      </c>
      <c r="E38" s="343" t="str">
        <f aca="false">ORÇAMENTO.Descricao</f>
        <v>PAVIMENTAÇAO</v>
      </c>
      <c r="F38" s="344" t="str">
        <f aca="true" t="array" ref="F38:F38">IF(RegimeExecucao="Global","",ORÇAMENTO.Unidade)</f>
        <v>-</v>
      </c>
      <c r="G38" s="212" t="n">
        <f aca="true" t="array" ref="G38:G38">IF(RegimeExecucao="Global","",ORÇAMENTO!T38)</f>
        <v>0</v>
      </c>
      <c r="H38" s="212" t="n">
        <f aca="true" t="array" ref="H38:H38">IF(RegimeExecucao="Global","",ORÇAMENTO!W38)</f>
        <v>0</v>
      </c>
      <c r="I38" s="215" t="n">
        <f aca="false">ORÇAMENTO!X38</f>
        <v>0</v>
      </c>
      <c r="J38" s="636" t="n">
        <f aca="true" t="array" ref="J38:J38">IF($A38="S",IF(CAIXA.Modo,BM.AFAnterior,BM.MEDAnterior),IF(AND(RegimeExecucao="Global",$I38&gt;0,COUNTIF($AB$13:$AM$13,BM.medicao-1)&gt;0),M38/$I38*100,0))</f>
        <v>0</v>
      </c>
      <c r="K38" s="212" t="n">
        <f aca="false">L38-J38</f>
        <v>0</v>
      </c>
      <c r="L38" s="637" t="n">
        <f aca="true" t="array" ref="L38:L38">IF($A38="S",IF(CAIXA.Modo,BM.AFAcumulado,BM.MEDAcumulado),IF(AND(RegimeExecucao="Global",$I38&gt;0,COUNTIF($AB$13:$AM$13,BM.medicao)&gt;0),O38/$I38*100,0))</f>
        <v>0</v>
      </c>
      <c r="M38" s="638" t="n">
        <f aca="true" t="array" ref="M38:M38">IF($A38="S",VTOTALBM,IF($A38=0,0,ROUND(SomaAgrupBM,15-13*ORÇAMENTO!$AF$11)))</f>
        <v>0</v>
      </c>
      <c r="N38" s="224" t="n">
        <f aca="false">O38-M38</f>
        <v>0</v>
      </c>
      <c r="O38" s="215" t="n">
        <f aca="true" t="array" ref="O38:O38">IF($A38="S",VTOTALBM,IF($A38=0,0,ROUND(SomaAgrupBM,15-13*ORÇAMENTO!$AF$11)))</f>
        <v>0</v>
      </c>
      <c r="Q38" s="639"/>
      <c r="R38" s="640"/>
      <c r="T38" s="207" t="str">
        <f aca="false">IF($W38&gt;0,$D38,"")</f>
        <v/>
      </c>
      <c r="U38" s="343" t="str">
        <f aca="false">IF($W38&gt;0,$E38,"")</f>
        <v/>
      </c>
      <c r="V38" s="344" t="str">
        <f aca="true" t="array" ref="V38:V38">IF(AND($W38&gt;0,RegimeExecucao="Unitário"),$F38,"")</f>
        <v/>
      </c>
      <c r="W38" s="641" t="n">
        <f aca="true" t="array" ref="W38:W38">IF($Y38&gt;0,CHOOSE(MATCH(RegimeExecucao,{"Unitário","Global"},0),IF($A38="S",$Y38/$X38,""),($Y38/$X38)*100),0)</f>
        <v>0</v>
      </c>
      <c r="X38" s="642" t="str">
        <f aca="true" t="array" ref="X38:X38">IF($Y38&gt;0,CHOOSE(MATCH(RegimeExecucao,{"Unitário","Global"},0),IF($A38="S",ROUND($H38,ORÇAMENTO!$AF$10),""),ROUND($I38,ORÇAMENTO!$AF$11)),"")</f>
        <v/>
      </c>
      <c r="Y38" s="642" t="n">
        <f aca="false">AO38-O38</f>
        <v>0</v>
      </c>
      <c r="Z38" s="643"/>
      <c r="AB38" s="639"/>
      <c r="AC38" s="644"/>
      <c r="AD38" s="644"/>
      <c r="AE38" s="644"/>
      <c r="AF38" s="644"/>
      <c r="AG38" s="644"/>
      <c r="AH38" s="644"/>
      <c r="AI38" s="644"/>
      <c r="AJ38" s="644"/>
      <c r="AK38" s="644"/>
      <c r="AL38" s="644"/>
      <c r="AM38" s="640"/>
      <c r="AO38" s="0" t="n">
        <f aca="true" t="array" ref="AO38:AO38">IF($A38="S",IF(BM!$I38=0,0,CHOOSE(MATCH(RegimeExecucao,{"Global","Unitário"},0),ROUND(ROUND(BM.MEDAcumulado,15-13*BM!$A$9)/100*BM!$I38,15-13*ORÇAMENTO!$AF$11),ROUND(ROUND(BM.MEDAcumulado,15-13*BM!$A$9)*ROUND(BM!$H38,15-13*ORÇAMENTO!$AF$10),15-13*ORÇAMENTO!$AF$11))),IF($A38=0,0,ROUND(SomaAgrupBM,15-13*ORÇAMENTO!$AF$11)))</f>
        <v>0</v>
      </c>
    </row>
    <row r="39" customFormat="false" ht="12.75" hidden="false" customHeight="false" outlineLevel="0" collapsed="false">
      <c r="A39" s="0" t="str">
        <f aca="false">ORÇAMENTO!C39</f>
        <v>S</v>
      </c>
      <c r="B39" s="0" t="n">
        <f aca="false">ORÇAMENTO!D39</f>
        <v>0</v>
      </c>
      <c r="C39" s="204" t="str">
        <f aca="false">IF(OR($I39&gt;0,$A39=1,$A39=2,$A39=3,$A39=4),"F","")</f>
        <v/>
      </c>
      <c r="D39" s="207" t="str">
        <f aca="false">ORÇAMENTO!O39</f>
        <v>-</v>
      </c>
      <c r="E39" s="343" t="str">
        <f aca="false">ORÇAMENTO.Descricao</f>
        <v>(Código não identificado nas referências)</v>
      </c>
      <c r="F39" s="344" t="str">
        <f aca="true" t="array" ref="F39:F39">IF(RegimeExecucao="Global","",ORÇAMENTO.Unidade)</f>
        <v>-</v>
      </c>
      <c r="G39" s="212" t="n">
        <f aca="true" t="array" ref="G39:G39">IF(RegimeExecucao="Global","",ORÇAMENTO!T39)</f>
        <v>1634.57</v>
      </c>
      <c r="H39" s="212" t="n">
        <f aca="true" t="array" ref="H39:H39">IF(RegimeExecucao="Global","",ORÇAMENTO!W39)</f>
        <v>0</v>
      </c>
      <c r="I39" s="215" t="n">
        <f aca="false">ORÇAMENTO!X39</f>
        <v>0</v>
      </c>
      <c r="J39" s="636" t="n">
        <f aca="true" t="array" ref="J39:J39">IF($A39="S",IF(CAIXA.Modo,BM.AFAnterior,BM.MEDAnterior),IF(AND(RegimeExecucao="Global",$I39&gt;0,COUNTIF($AB$13:$AM$13,BM.medicao-1)&gt;0),M39/$I39*100,0))</f>
        <v>0</v>
      </c>
      <c r="K39" s="212" t="n">
        <f aca="false">L39-J39</f>
        <v>0</v>
      </c>
      <c r="L39" s="637" t="n">
        <f aca="true" t="array" ref="L39:L39">IF($A39="S",IF(CAIXA.Modo,BM.AFAcumulado,BM.MEDAcumulado),IF(AND(RegimeExecucao="Global",$I39&gt;0,COUNTIF($AB$13:$AM$13,BM.medicao)&gt;0),O39/$I39*100,0))</f>
        <v>0</v>
      </c>
      <c r="M39" s="638" t="n">
        <f aca="true" t="array" ref="M39:M39">IF($A39="S",VTOTALBM,IF($A39=0,0,ROUND(SomaAgrupBM,15-13*ORÇAMENTO!$AF$11)))</f>
        <v>0</v>
      </c>
      <c r="N39" s="224" t="n">
        <f aca="false">O39-M39</f>
        <v>0</v>
      </c>
      <c r="O39" s="215" t="n">
        <f aca="true" t="array" ref="O39:O39">IF($A39="S",VTOTALBM,IF($A39=0,0,ROUND(SomaAgrupBM,15-13*ORÇAMENTO!$AF$11)))</f>
        <v>0</v>
      </c>
      <c r="Q39" s="639"/>
      <c r="R39" s="640"/>
      <c r="T39" s="207" t="str">
        <f aca="false">IF($W39&gt;0,$D39,"")</f>
        <v/>
      </c>
      <c r="U39" s="343" t="str">
        <f aca="false">IF($W39&gt;0,$E39,"")</f>
        <v/>
      </c>
      <c r="V39" s="344" t="str">
        <f aca="true" t="array" ref="V39:V39">IF(AND($W39&gt;0,RegimeExecucao="Unitário"),$F39,"")</f>
        <v/>
      </c>
      <c r="W39" s="641" t="n">
        <f aca="true" t="array" ref="W39:W39">IF($Y39&gt;0,CHOOSE(MATCH(RegimeExecucao,{"Unitário","Global"},0),IF($A39="S",$Y39/$X39,""),($Y39/$X39)*100),0)</f>
        <v>0</v>
      </c>
      <c r="X39" s="642" t="str">
        <f aca="true" t="array" ref="X39:X39">IF($Y39&gt;0,CHOOSE(MATCH(RegimeExecucao,{"Unitário","Global"},0),IF($A39="S",ROUND($H39,ORÇAMENTO!$AF$10),""),ROUND($I39,ORÇAMENTO!$AF$11)),"")</f>
        <v/>
      </c>
      <c r="Y39" s="642" t="n">
        <f aca="false">AO39-O39</f>
        <v>0</v>
      </c>
      <c r="Z39" s="643"/>
      <c r="AB39" s="639"/>
      <c r="AC39" s="644"/>
      <c r="AD39" s="644"/>
      <c r="AE39" s="644"/>
      <c r="AF39" s="644"/>
      <c r="AG39" s="644"/>
      <c r="AH39" s="644"/>
      <c r="AI39" s="644"/>
      <c r="AJ39" s="644"/>
      <c r="AK39" s="644"/>
      <c r="AL39" s="644"/>
      <c r="AM39" s="640"/>
      <c r="AO39" s="0" t="n">
        <f aca="true" t="array" ref="AO39:AO39">IF($A39="S",IF(BM!$I39=0,0,CHOOSE(MATCH(RegimeExecucao,{"Global","Unitário"},0),ROUND(ROUND(BM.MEDAcumulado,15-13*BM!$A$9)/100*BM!$I39,15-13*ORÇAMENTO!$AF$11),ROUND(ROUND(BM.MEDAcumulado,15-13*BM!$A$9)*ROUND(BM!$H39,15-13*ORÇAMENTO!$AF$10),15-13*ORÇAMENTO!$AF$11))),IF($A39=0,0,ROUND(SomaAgrupBM,15-13*ORÇAMENTO!$AF$11)))</f>
        <v>0</v>
      </c>
    </row>
    <row r="40" customFormat="false" ht="12.75" hidden="false" customHeight="false" outlineLevel="0" collapsed="false">
      <c r="A40" s="0" t="str">
        <f aca="false">ORÇAMENTO!C40</f>
        <v>S</v>
      </c>
      <c r="B40" s="0" t="n">
        <f aca="false">ORÇAMENTO!D40</f>
        <v>0</v>
      </c>
      <c r="C40" s="204" t="str">
        <f aca="false">IF(OR($I40&gt;0,$A40=1,$A40=2,$A40=3,$A40=4),"F","")</f>
        <v/>
      </c>
      <c r="D40" s="207" t="str">
        <f aca="false">ORÇAMENTO!O40</f>
        <v>-</v>
      </c>
      <c r="E40" s="343" t="str">
        <f aca="false">ORÇAMENTO.Descricao</f>
        <v>(Código não identificado nas referências)</v>
      </c>
      <c r="F40" s="344" t="str">
        <f aca="true" t="array" ref="F40:F40">IF(RegimeExecucao="Global","",ORÇAMENTO.Unidade)</f>
        <v>-</v>
      </c>
      <c r="G40" s="212" t="n">
        <f aca="true" t="array" ref="G40:G40">IF(RegimeExecucao="Global","",ORÇAMENTO!T40)</f>
        <v>65</v>
      </c>
      <c r="H40" s="212" t="n">
        <f aca="true" t="array" ref="H40:H40">IF(RegimeExecucao="Global","",ORÇAMENTO!W40)</f>
        <v>0</v>
      </c>
      <c r="I40" s="215" t="n">
        <f aca="false">ORÇAMENTO!X40</f>
        <v>0</v>
      </c>
      <c r="J40" s="636" t="n">
        <f aca="true" t="array" ref="J40:J40">IF($A40="S",IF(CAIXA.Modo,BM.AFAnterior,BM.MEDAnterior),IF(AND(RegimeExecucao="Global",$I40&gt;0,COUNTIF($AB$13:$AM$13,BM.medicao-1)&gt;0),M40/$I40*100,0))</f>
        <v>0</v>
      </c>
      <c r="K40" s="212" t="n">
        <f aca="false">L40-J40</f>
        <v>0</v>
      </c>
      <c r="L40" s="637" t="n">
        <f aca="true" t="array" ref="L40:L40">IF($A40="S",IF(CAIXA.Modo,BM.AFAcumulado,BM.MEDAcumulado),IF(AND(RegimeExecucao="Global",$I40&gt;0,COUNTIF($AB$13:$AM$13,BM.medicao)&gt;0),O40/$I40*100,0))</f>
        <v>0</v>
      </c>
      <c r="M40" s="638" t="n">
        <f aca="true" t="array" ref="M40:M40">IF($A40="S",VTOTALBM,IF($A40=0,0,ROUND(SomaAgrupBM,15-13*ORÇAMENTO!$AF$11)))</f>
        <v>0</v>
      </c>
      <c r="N40" s="224" t="n">
        <f aca="false">O40-M40</f>
        <v>0</v>
      </c>
      <c r="O40" s="215" t="n">
        <f aca="true" t="array" ref="O40:O40">IF($A40="S",VTOTALBM,IF($A40=0,0,ROUND(SomaAgrupBM,15-13*ORÇAMENTO!$AF$11)))</f>
        <v>0</v>
      </c>
      <c r="Q40" s="639"/>
      <c r="R40" s="640"/>
      <c r="T40" s="207" t="str">
        <f aca="false">IF($W40&gt;0,$D40,"")</f>
        <v/>
      </c>
      <c r="U40" s="343" t="str">
        <f aca="false">IF($W40&gt;0,$E40,"")</f>
        <v/>
      </c>
      <c r="V40" s="344" t="str">
        <f aca="true" t="array" ref="V40:V40">IF(AND($W40&gt;0,RegimeExecucao="Unitário"),$F40,"")</f>
        <v/>
      </c>
      <c r="W40" s="641" t="n">
        <f aca="true" t="array" ref="W40:W40">IF($Y40&gt;0,CHOOSE(MATCH(RegimeExecucao,{"Unitário","Global"},0),IF($A40="S",$Y40/$X40,""),($Y40/$X40)*100),0)</f>
        <v>0</v>
      </c>
      <c r="X40" s="642" t="str">
        <f aca="true" t="array" ref="X40:X40">IF($Y40&gt;0,CHOOSE(MATCH(RegimeExecucao,{"Unitário","Global"},0),IF($A40="S",ROUND($H40,ORÇAMENTO!$AF$10),""),ROUND($I40,ORÇAMENTO!$AF$11)),"")</f>
        <v/>
      </c>
      <c r="Y40" s="642" t="n">
        <f aca="false">AO40-O40</f>
        <v>0</v>
      </c>
      <c r="Z40" s="643"/>
      <c r="AB40" s="639"/>
      <c r="AC40" s="644"/>
      <c r="AD40" s="644"/>
      <c r="AE40" s="644"/>
      <c r="AF40" s="644"/>
      <c r="AG40" s="644"/>
      <c r="AH40" s="644"/>
      <c r="AI40" s="644"/>
      <c r="AJ40" s="644"/>
      <c r="AK40" s="644"/>
      <c r="AL40" s="644"/>
      <c r="AM40" s="640"/>
      <c r="AO40" s="0" t="n">
        <f aca="true" t="array" ref="AO40:AO40">IF($A40="S",IF(BM!$I40=0,0,CHOOSE(MATCH(RegimeExecucao,{"Global","Unitário"},0),ROUND(ROUND(BM.MEDAcumulado,15-13*BM!$A$9)/100*BM!$I40,15-13*ORÇAMENTO!$AF$11),ROUND(ROUND(BM.MEDAcumulado,15-13*BM!$A$9)*ROUND(BM!$H40,15-13*ORÇAMENTO!$AF$10),15-13*ORÇAMENTO!$AF$11))),IF($A40=0,0,ROUND(SomaAgrupBM,15-13*ORÇAMENTO!$AF$11)))</f>
        <v>0</v>
      </c>
    </row>
    <row r="41" customFormat="false" ht="12.75" hidden="false" customHeight="false" outlineLevel="0" collapsed="false">
      <c r="A41" s="0" t="str">
        <f aca="false">ORÇAMENTO!C41</f>
        <v>S</v>
      </c>
      <c r="B41" s="0" t="n">
        <f aca="false">ORÇAMENTO!D41</f>
        <v>0</v>
      </c>
      <c r="C41" s="204" t="str">
        <f aca="false">IF(OR($I41&gt;0,$A41=1,$A41=2,$A41=3,$A41=4),"F","")</f>
        <v/>
      </c>
      <c r="D41" s="207" t="str">
        <f aca="false">ORÇAMENTO!O41</f>
        <v>-</v>
      </c>
      <c r="E41" s="343" t="str">
        <f aca="false">ORÇAMENTO.Descricao</f>
        <v>(Código não identificado nas referências)</v>
      </c>
      <c r="F41" s="344" t="str">
        <f aca="true" t="array" ref="F41:F41">IF(RegimeExecucao="Global","",ORÇAMENTO.Unidade)</f>
        <v>-</v>
      </c>
      <c r="G41" s="212" t="n">
        <f aca="true" t="array" ref="G41:G41">IF(RegimeExecucao="Global","",ORÇAMENTO!T41)</f>
        <v>1</v>
      </c>
      <c r="H41" s="212" t="n">
        <f aca="true" t="array" ref="H41:H41">IF(RegimeExecucao="Global","",ORÇAMENTO!W41)</f>
        <v>0</v>
      </c>
      <c r="I41" s="215" t="n">
        <f aca="false">ORÇAMENTO!X41</f>
        <v>0</v>
      </c>
      <c r="J41" s="636" t="n">
        <f aca="true" t="array" ref="J41:J41">IF($A41="S",IF(CAIXA.Modo,BM.AFAnterior,BM.MEDAnterior),IF(AND(RegimeExecucao="Global",$I41&gt;0,COUNTIF($AB$13:$AM$13,BM.medicao-1)&gt;0),M41/$I41*100,0))</f>
        <v>0</v>
      </c>
      <c r="K41" s="212" t="n">
        <f aca="false">L41-J41</f>
        <v>0</v>
      </c>
      <c r="L41" s="637" t="n">
        <f aca="true" t="array" ref="L41:L41">IF($A41="S",IF(CAIXA.Modo,BM.AFAcumulado,BM.MEDAcumulado),IF(AND(RegimeExecucao="Global",$I41&gt;0,COUNTIF($AB$13:$AM$13,BM.medicao)&gt;0),O41/$I41*100,0))</f>
        <v>0</v>
      </c>
      <c r="M41" s="638" t="n">
        <f aca="true" t="array" ref="M41:M41">IF($A41="S",VTOTALBM,IF($A41=0,0,ROUND(SomaAgrupBM,15-13*ORÇAMENTO!$AF$11)))</f>
        <v>0</v>
      </c>
      <c r="N41" s="224" t="n">
        <f aca="false">O41-M41</f>
        <v>0</v>
      </c>
      <c r="O41" s="215" t="n">
        <f aca="true" t="array" ref="O41:O41">IF($A41="S",VTOTALBM,IF($A41=0,0,ROUND(SomaAgrupBM,15-13*ORÇAMENTO!$AF$11)))</f>
        <v>0</v>
      </c>
      <c r="Q41" s="639"/>
      <c r="R41" s="640"/>
      <c r="T41" s="207" t="str">
        <f aca="false">IF($W41&gt;0,$D41,"")</f>
        <v/>
      </c>
      <c r="U41" s="343" t="str">
        <f aca="false">IF($W41&gt;0,$E41,"")</f>
        <v/>
      </c>
      <c r="V41" s="344" t="str">
        <f aca="true" t="array" ref="V41:V41">IF(AND($W41&gt;0,RegimeExecucao="Unitário"),$F41,"")</f>
        <v/>
      </c>
      <c r="W41" s="641" t="n">
        <f aca="true" t="array" ref="W41:W41">IF($Y41&gt;0,CHOOSE(MATCH(RegimeExecucao,{"Unitário","Global"},0),IF($A41="S",$Y41/$X41,""),($Y41/$X41)*100),0)</f>
        <v>0</v>
      </c>
      <c r="X41" s="642" t="str">
        <f aca="true" t="array" ref="X41:X41">IF($Y41&gt;0,CHOOSE(MATCH(RegimeExecucao,{"Unitário","Global"},0),IF($A41="S",ROUND($H41,ORÇAMENTO!$AF$10),""),ROUND($I41,ORÇAMENTO!$AF$11)),"")</f>
        <v/>
      </c>
      <c r="Y41" s="642" t="n">
        <f aca="false">AO41-O41</f>
        <v>0</v>
      </c>
      <c r="Z41" s="643"/>
      <c r="AB41" s="639"/>
      <c r="AC41" s="644"/>
      <c r="AD41" s="644"/>
      <c r="AE41" s="644"/>
      <c r="AF41" s="644"/>
      <c r="AG41" s="644"/>
      <c r="AH41" s="644"/>
      <c r="AI41" s="644"/>
      <c r="AJ41" s="644"/>
      <c r="AK41" s="644"/>
      <c r="AL41" s="644"/>
      <c r="AM41" s="640"/>
      <c r="AO41" s="0" t="n">
        <f aca="true" t="array" ref="AO41:AO41">IF($A41="S",IF(BM!$I41=0,0,CHOOSE(MATCH(RegimeExecucao,{"Global","Unitário"},0),ROUND(ROUND(BM.MEDAcumulado,15-13*BM!$A$9)/100*BM!$I41,15-13*ORÇAMENTO!$AF$11),ROUND(ROUND(BM.MEDAcumulado,15-13*BM!$A$9)*ROUND(BM!$H41,15-13*ORÇAMENTO!$AF$10),15-13*ORÇAMENTO!$AF$11))),IF($A41=0,0,ROUND(SomaAgrupBM,15-13*ORÇAMENTO!$AF$11)))</f>
        <v>0</v>
      </c>
    </row>
    <row r="42" customFormat="false" ht="12.75" hidden="false" customHeight="false" outlineLevel="0" collapsed="false">
      <c r="A42" s="0" t="n">
        <f aca="false">ORÇAMENTO!C42</f>
        <v>2</v>
      </c>
      <c r="B42" s="0" t="n">
        <f aca="false">ORÇAMENTO!D42</f>
        <v>7</v>
      </c>
      <c r="C42" s="204" t="str">
        <f aca="false">IF(OR($I42&gt;0,$A42=1,$A42=2,$A42=3,$A42=4),"F","")</f>
        <v>F</v>
      </c>
      <c r="D42" s="207" t="str">
        <f aca="false">ORÇAMENTO!O42</f>
        <v>1.8.</v>
      </c>
      <c r="E42" s="343" t="str">
        <f aca="false">ORÇAMENTO.Descricao</f>
        <v>EQUIPAMENTO</v>
      </c>
      <c r="F42" s="344" t="str">
        <f aca="true" t="array" ref="F42:F42">IF(RegimeExecucao="Global","",ORÇAMENTO.Unidade)</f>
        <v>-</v>
      </c>
      <c r="G42" s="212" t="n">
        <f aca="true" t="array" ref="G42:G42">IF(RegimeExecucao="Global","",ORÇAMENTO!T42)</f>
        <v>0</v>
      </c>
      <c r="H42" s="212" t="n">
        <f aca="true" t="array" ref="H42:H42">IF(RegimeExecucao="Global","",ORÇAMENTO!W42)</f>
        <v>0</v>
      </c>
      <c r="I42" s="215" t="n">
        <f aca="false">ORÇAMENTO!X42</f>
        <v>0</v>
      </c>
      <c r="J42" s="636" t="n">
        <f aca="true" t="array" ref="J42:J42">IF($A42="S",IF(CAIXA.Modo,BM.AFAnterior,BM.MEDAnterior),IF(AND(RegimeExecucao="Global",$I42&gt;0,COUNTIF($AB$13:$AM$13,BM.medicao-1)&gt;0),M42/$I42*100,0))</f>
        <v>0</v>
      </c>
      <c r="K42" s="212" t="n">
        <f aca="false">L42-J42</f>
        <v>0</v>
      </c>
      <c r="L42" s="637" t="n">
        <f aca="true" t="array" ref="L42:L42">IF($A42="S",IF(CAIXA.Modo,BM.AFAcumulado,BM.MEDAcumulado),IF(AND(RegimeExecucao="Global",$I42&gt;0,COUNTIF($AB$13:$AM$13,BM.medicao)&gt;0),O42/$I42*100,0))</f>
        <v>0</v>
      </c>
      <c r="M42" s="638" t="n">
        <f aca="true" t="array" ref="M42:M42">IF($A42="S",VTOTALBM,IF($A42=0,0,ROUND(SomaAgrupBM,15-13*ORÇAMENTO!$AF$11)))</f>
        <v>0</v>
      </c>
      <c r="N42" s="224" t="n">
        <f aca="false">O42-M42</f>
        <v>0</v>
      </c>
      <c r="O42" s="215" t="n">
        <f aca="true" t="array" ref="O42:O42">IF($A42="S",VTOTALBM,IF($A42=0,0,ROUND(SomaAgrupBM,15-13*ORÇAMENTO!$AF$11)))</f>
        <v>0</v>
      </c>
      <c r="Q42" s="639"/>
      <c r="R42" s="640"/>
      <c r="T42" s="207" t="str">
        <f aca="false">IF($W42&gt;0,$D42,"")</f>
        <v/>
      </c>
      <c r="U42" s="343" t="str">
        <f aca="false">IF($W42&gt;0,$E42,"")</f>
        <v/>
      </c>
      <c r="V42" s="344" t="str">
        <f aca="true" t="array" ref="V42:V42">IF(AND($W42&gt;0,RegimeExecucao="Unitário"),$F42,"")</f>
        <v/>
      </c>
      <c r="W42" s="641" t="n">
        <f aca="true" t="array" ref="W42:W42">IF($Y42&gt;0,CHOOSE(MATCH(RegimeExecucao,{"Unitário","Global"},0),IF($A42="S",$Y42/$X42,""),($Y42/$X42)*100),0)</f>
        <v>0</v>
      </c>
      <c r="X42" s="642" t="str">
        <f aca="true" t="array" ref="X42:X42">IF($Y42&gt;0,CHOOSE(MATCH(RegimeExecucao,{"Unitário","Global"},0),IF($A42="S",ROUND($H42,ORÇAMENTO!$AF$10),""),ROUND($I42,ORÇAMENTO!$AF$11)),"")</f>
        <v/>
      </c>
      <c r="Y42" s="642" t="n">
        <f aca="false">AO42-O42</f>
        <v>0</v>
      </c>
      <c r="Z42" s="643"/>
      <c r="AB42" s="639"/>
      <c r="AC42" s="644"/>
      <c r="AD42" s="644"/>
      <c r="AE42" s="644"/>
      <c r="AF42" s="644"/>
      <c r="AG42" s="644"/>
      <c r="AH42" s="644"/>
      <c r="AI42" s="644"/>
      <c r="AJ42" s="644"/>
      <c r="AK42" s="644"/>
      <c r="AL42" s="644"/>
      <c r="AM42" s="640"/>
      <c r="AO42" s="0" t="n">
        <f aca="true" t="array" ref="AO42:AO42">IF($A42="S",IF(BM!$I42=0,0,CHOOSE(MATCH(RegimeExecucao,{"Global","Unitário"},0),ROUND(ROUND(BM.MEDAcumulado,15-13*BM!$A$9)/100*BM!$I42,15-13*ORÇAMENTO!$AF$11),ROUND(ROUND(BM.MEDAcumulado,15-13*BM!$A$9)*ROUND(BM!$H42,15-13*ORÇAMENTO!$AF$10),15-13*ORÇAMENTO!$AF$11))),IF($A42=0,0,ROUND(SomaAgrupBM,15-13*ORÇAMENTO!$AF$11)))</f>
        <v>0</v>
      </c>
    </row>
    <row r="43" customFormat="false" ht="12.75" hidden="false" customHeight="false" outlineLevel="0" collapsed="false">
      <c r="A43" s="0" t="str">
        <f aca="false">ORÇAMENTO!C43</f>
        <v>S</v>
      </c>
      <c r="B43" s="0" t="n">
        <f aca="false">ORÇAMENTO!D43</f>
        <v>0</v>
      </c>
      <c r="C43" s="204" t="str">
        <f aca="false">IF(OR($I43&gt;0,$A43=1,$A43=2,$A43=3,$A43=4),"F","")</f>
        <v/>
      </c>
      <c r="D43" s="207" t="str">
        <f aca="false">ORÇAMENTO!O43</f>
        <v>-</v>
      </c>
      <c r="E43" s="343" t="str">
        <f aca="false">ORÇAMENTO.Descricao</f>
        <v>(Código não identificado nas referências)</v>
      </c>
      <c r="F43" s="344" t="str">
        <f aca="true" t="array" ref="F43:F43">IF(RegimeExecucao="Global","",ORÇAMENTO.Unidade)</f>
        <v>-</v>
      </c>
      <c r="G43" s="212" t="n">
        <f aca="true" t="array" ref="G43:G43">IF(RegimeExecucao="Global","",ORÇAMENTO!T43)</f>
        <v>20</v>
      </c>
      <c r="H43" s="212" t="n">
        <f aca="true" t="array" ref="H43:H43">IF(RegimeExecucao="Global","",ORÇAMENTO!W43)</f>
        <v>0</v>
      </c>
      <c r="I43" s="215" t="n">
        <f aca="false">ORÇAMENTO!X43</f>
        <v>0</v>
      </c>
      <c r="J43" s="636" t="n">
        <f aca="true" t="array" ref="J43:J43">IF($A43="S",IF(CAIXA.Modo,BM.AFAnterior,BM.MEDAnterior),IF(AND(RegimeExecucao="Global",$I43&gt;0,COUNTIF($AB$13:$AM$13,BM.medicao-1)&gt;0),M43/$I43*100,0))</f>
        <v>0</v>
      </c>
      <c r="K43" s="212" t="n">
        <f aca="false">L43-J43</f>
        <v>0</v>
      </c>
      <c r="L43" s="637" t="n">
        <f aca="true" t="array" ref="L43:L43">IF($A43="S",IF(CAIXA.Modo,BM.AFAcumulado,BM.MEDAcumulado),IF(AND(RegimeExecucao="Global",$I43&gt;0,COUNTIF($AB$13:$AM$13,BM.medicao)&gt;0),O43/$I43*100,0))</f>
        <v>0</v>
      </c>
      <c r="M43" s="638" t="n">
        <f aca="true" t="array" ref="M43:M43">IF($A43="S",VTOTALBM,IF($A43=0,0,ROUND(SomaAgrupBM,15-13*ORÇAMENTO!$AF$11)))</f>
        <v>0</v>
      </c>
      <c r="N43" s="224" t="n">
        <f aca="false">O43-M43</f>
        <v>0</v>
      </c>
      <c r="O43" s="215" t="n">
        <f aca="true" t="array" ref="O43:O43">IF($A43="S",VTOTALBM,IF($A43=0,0,ROUND(SomaAgrupBM,15-13*ORÇAMENTO!$AF$11)))</f>
        <v>0</v>
      </c>
      <c r="Q43" s="639"/>
      <c r="R43" s="640"/>
      <c r="T43" s="207" t="str">
        <f aca="false">IF($W43&gt;0,$D43,"")</f>
        <v/>
      </c>
      <c r="U43" s="343" t="str">
        <f aca="false">IF($W43&gt;0,$E43,"")</f>
        <v/>
      </c>
      <c r="V43" s="344" t="str">
        <f aca="true" t="array" ref="V43:V43">IF(AND($W43&gt;0,RegimeExecucao="Unitário"),$F43,"")</f>
        <v/>
      </c>
      <c r="W43" s="641" t="n">
        <f aca="true" t="array" ref="W43:W43">IF($Y43&gt;0,CHOOSE(MATCH(RegimeExecucao,{"Unitário","Global"},0),IF($A43="S",$Y43/$X43,""),($Y43/$X43)*100),0)</f>
        <v>0</v>
      </c>
      <c r="X43" s="642" t="str">
        <f aca="true" t="array" ref="X43:X43">IF($Y43&gt;0,CHOOSE(MATCH(RegimeExecucao,{"Unitário","Global"},0),IF($A43="S",ROUND($H43,ORÇAMENTO!$AF$10),""),ROUND($I43,ORÇAMENTO!$AF$11)),"")</f>
        <v/>
      </c>
      <c r="Y43" s="642" t="n">
        <f aca="false">AO43-O43</f>
        <v>0</v>
      </c>
      <c r="Z43" s="643"/>
      <c r="AB43" s="639"/>
      <c r="AC43" s="644"/>
      <c r="AD43" s="644"/>
      <c r="AE43" s="644"/>
      <c r="AF43" s="644"/>
      <c r="AG43" s="644"/>
      <c r="AH43" s="644"/>
      <c r="AI43" s="644"/>
      <c r="AJ43" s="644"/>
      <c r="AK43" s="644"/>
      <c r="AL43" s="644"/>
      <c r="AM43" s="640"/>
      <c r="AO43" s="0" t="n">
        <f aca="true" t="array" ref="AO43:AO43">IF($A43="S",IF(BM!$I43=0,0,CHOOSE(MATCH(RegimeExecucao,{"Global","Unitário"},0),ROUND(ROUND(BM.MEDAcumulado,15-13*BM!$A$9)/100*BM!$I43,15-13*ORÇAMENTO!$AF$11),ROUND(ROUND(BM.MEDAcumulado,15-13*BM!$A$9)*ROUND(BM!$H43,15-13*ORÇAMENTO!$AF$10),15-13*ORÇAMENTO!$AF$11))),IF($A43=0,0,ROUND(SomaAgrupBM,15-13*ORÇAMENTO!$AF$11)))</f>
        <v>0</v>
      </c>
    </row>
    <row r="44" customFormat="false" ht="12.75" hidden="false" customHeight="false" outlineLevel="0" collapsed="false">
      <c r="A44" s="0" t="str">
        <f aca="false">ORÇAMENTO!C44</f>
        <v>S</v>
      </c>
      <c r="B44" s="0" t="n">
        <f aca="false">ORÇAMENTO!D44</f>
        <v>0</v>
      </c>
      <c r="C44" s="204" t="str">
        <f aca="false">IF(OR($I44&gt;0,$A44=1,$A44=2,$A44=3,$A44=4),"F","")</f>
        <v/>
      </c>
      <c r="D44" s="207" t="str">
        <f aca="false">ORÇAMENTO!O44</f>
        <v>-</v>
      </c>
      <c r="E44" s="343" t="str">
        <f aca="false">ORÇAMENTO.Descricao</f>
        <v>(Código não identificado nas referências)</v>
      </c>
      <c r="F44" s="344" t="str">
        <f aca="true" t="array" ref="F44:F44">IF(RegimeExecucao="Global","",ORÇAMENTO.Unidade)</f>
        <v>-</v>
      </c>
      <c r="G44" s="212" t="n">
        <f aca="true" t="array" ref="G44:G44">IF(RegimeExecucao="Global","",ORÇAMENTO!T44)</f>
        <v>24</v>
      </c>
      <c r="H44" s="212" t="n">
        <f aca="true" t="array" ref="H44:H44">IF(RegimeExecucao="Global","",ORÇAMENTO!W44)</f>
        <v>0</v>
      </c>
      <c r="I44" s="215" t="n">
        <f aca="false">ORÇAMENTO!X44</f>
        <v>0</v>
      </c>
      <c r="J44" s="636" t="n">
        <f aca="true" t="array" ref="J44:J44">IF($A44="S",IF(CAIXA.Modo,BM.AFAnterior,BM.MEDAnterior),IF(AND(RegimeExecucao="Global",$I44&gt;0,COUNTIF($AB$13:$AM$13,BM.medicao-1)&gt;0),M44/$I44*100,0))</f>
        <v>0</v>
      </c>
      <c r="K44" s="212" t="n">
        <f aca="false">L44-J44</f>
        <v>0</v>
      </c>
      <c r="L44" s="637" t="n">
        <f aca="true" t="array" ref="L44:L44">IF($A44="S",IF(CAIXA.Modo,BM.AFAcumulado,BM.MEDAcumulado),IF(AND(RegimeExecucao="Global",$I44&gt;0,COUNTIF($AB$13:$AM$13,BM.medicao)&gt;0),O44/$I44*100,0))</f>
        <v>0</v>
      </c>
      <c r="M44" s="638" t="n">
        <f aca="true" t="array" ref="M44:M44">IF($A44="S",VTOTALBM,IF($A44=0,0,ROUND(SomaAgrupBM,15-13*ORÇAMENTO!$AF$11)))</f>
        <v>0</v>
      </c>
      <c r="N44" s="224" t="n">
        <f aca="false">O44-M44</f>
        <v>0</v>
      </c>
      <c r="O44" s="215" t="n">
        <f aca="true" t="array" ref="O44:O44">IF($A44="S",VTOTALBM,IF($A44=0,0,ROUND(SomaAgrupBM,15-13*ORÇAMENTO!$AF$11)))</f>
        <v>0</v>
      </c>
      <c r="Q44" s="639"/>
      <c r="R44" s="640"/>
      <c r="T44" s="207" t="str">
        <f aca="false">IF($W44&gt;0,$D44,"")</f>
        <v/>
      </c>
      <c r="U44" s="343" t="str">
        <f aca="false">IF($W44&gt;0,$E44,"")</f>
        <v/>
      </c>
      <c r="V44" s="344" t="str">
        <f aca="true" t="array" ref="V44:V44">IF(AND($W44&gt;0,RegimeExecucao="Unitário"),$F44,"")</f>
        <v/>
      </c>
      <c r="W44" s="641" t="n">
        <f aca="true" t="array" ref="W44:W44">IF($Y44&gt;0,CHOOSE(MATCH(RegimeExecucao,{"Unitário","Global"},0),IF($A44="S",$Y44/$X44,""),($Y44/$X44)*100),0)</f>
        <v>0</v>
      </c>
      <c r="X44" s="642" t="str">
        <f aca="true" t="array" ref="X44:X44">IF($Y44&gt;0,CHOOSE(MATCH(RegimeExecucao,{"Unitário","Global"},0),IF($A44="S",ROUND($H44,ORÇAMENTO!$AF$10),""),ROUND($I44,ORÇAMENTO!$AF$11)),"")</f>
        <v/>
      </c>
      <c r="Y44" s="642" t="n">
        <f aca="false">AO44-O44</f>
        <v>0</v>
      </c>
      <c r="Z44" s="643"/>
      <c r="AB44" s="639"/>
      <c r="AC44" s="644"/>
      <c r="AD44" s="644"/>
      <c r="AE44" s="644"/>
      <c r="AF44" s="644"/>
      <c r="AG44" s="644"/>
      <c r="AH44" s="644"/>
      <c r="AI44" s="644"/>
      <c r="AJ44" s="644"/>
      <c r="AK44" s="644"/>
      <c r="AL44" s="644"/>
      <c r="AM44" s="640"/>
      <c r="AO44" s="0" t="n">
        <f aca="true" t="array" ref="AO44:AO44">IF($A44="S",IF(BM!$I44=0,0,CHOOSE(MATCH(RegimeExecucao,{"Global","Unitário"},0),ROUND(ROUND(BM.MEDAcumulado,15-13*BM!$A$9)/100*BM!$I44,15-13*ORÇAMENTO!$AF$11),ROUND(ROUND(BM.MEDAcumulado,15-13*BM!$A$9)*ROUND(BM!$H44,15-13*ORÇAMENTO!$AF$10),15-13*ORÇAMENTO!$AF$11))),IF($A44=0,0,ROUND(SomaAgrupBM,15-13*ORÇAMENTO!$AF$11)))</f>
        <v>0</v>
      </c>
    </row>
    <row r="45" customFormat="false" ht="12.75" hidden="false" customHeight="false" outlineLevel="0" collapsed="false">
      <c r="A45" s="0" t="str">
        <f aca="false">ORÇAMENTO!C45</f>
        <v>S</v>
      </c>
      <c r="B45" s="0" t="n">
        <f aca="false">ORÇAMENTO!D45</f>
        <v>0</v>
      </c>
      <c r="C45" s="204" t="str">
        <f aca="false">IF(OR($I45&gt;0,$A45=1,$A45=2,$A45=3,$A45=4),"F","")</f>
        <v/>
      </c>
      <c r="D45" s="207" t="str">
        <f aca="false">ORÇAMENTO!O45</f>
        <v>-</v>
      </c>
      <c r="E45" s="343" t="str">
        <f aca="false">ORÇAMENTO.Descricao</f>
        <v>(Código não identificado nas referências)</v>
      </c>
      <c r="F45" s="344" t="str">
        <f aca="true" t="array" ref="F45:F45">IF(RegimeExecucao="Global","",ORÇAMENTO.Unidade)</f>
        <v>-</v>
      </c>
      <c r="G45" s="212" t="n">
        <f aca="true" t="array" ref="G45:G45">IF(RegimeExecucao="Global","",ORÇAMENTO!T45)</f>
        <v>261</v>
      </c>
      <c r="H45" s="212" t="n">
        <f aca="true" t="array" ref="H45:H45">IF(RegimeExecucao="Global","",ORÇAMENTO!W45)</f>
        <v>0</v>
      </c>
      <c r="I45" s="215" t="n">
        <f aca="false">ORÇAMENTO!X45</f>
        <v>0</v>
      </c>
      <c r="J45" s="636" t="n">
        <f aca="true" t="array" ref="J45:J45">IF($A45="S",IF(CAIXA.Modo,BM.AFAnterior,BM.MEDAnterior),IF(AND(RegimeExecucao="Global",$I45&gt;0,COUNTIF($AB$13:$AM$13,BM.medicao-1)&gt;0),M45/$I45*100,0))</f>
        <v>0</v>
      </c>
      <c r="K45" s="212" t="n">
        <f aca="false">L45-J45</f>
        <v>0</v>
      </c>
      <c r="L45" s="637" t="n">
        <f aca="true" t="array" ref="L45:L45">IF($A45="S",IF(CAIXA.Modo,BM.AFAcumulado,BM.MEDAcumulado),IF(AND(RegimeExecucao="Global",$I45&gt;0,COUNTIF($AB$13:$AM$13,BM.medicao)&gt;0),O45/$I45*100,0))</f>
        <v>0</v>
      </c>
      <c r="M45" s="638" t="n">
        <f aca="true" t="array" ref="M45:M45">IF($A45="S",VTOTALBM,IF($A45=0,0,ROUND(SomaAgrupBM,15-13*ORÇAMENTO!$AF$11)))</f>
        <v>0</v>
      </c>
      <c r="N45" s="224" t="n">
        <f aca="false">O45-M45</f>
        <v>0</v>
      </c>
      <c r="O45" s="215" t="n">
        <f aca="true" t="array" ref="O45:O45">IF($A45="S",VTOTALBM,IF($A45=0,0,ROUND(SomaAgrupBM,15-13*ORÇAMENTO!$AF$11)))</f>
        <v>0</v>
      </c>
      <c r="Q45" s="639"/>
      <c r="R45" s="640"/>
      <c r="T45" s="207" t="str">
        <f aca="false">IF($W45&gt;0,$D45,"")</f>
        <v/>
      </c>
      <c r="U45" s="343" t="str">
        <f aca="false">IF($W45&gt;0,$E45,"")</f>
        <v/>
      </c>
      <c r="V45" s="344" t="str">
        <f aca="true" t="array" ref="V45:V45">IF(AND($W45&gt;0,RegimeExecucao="Unitário"),$F45,"")</f>
        <v/>
      </c>
      <c r="W45" s="641" t="n">
        <f aca="true" t="array" ref="W45:W45">IF($Y45&gt;0,CHOOSE(MATCH(RegimeExecucao,{"Unitário","Global"},0),IF($A45="S",$Y45/$X45,""),($Y45/$X45)*100),0)</f>
        <v>0</v>
      </c>
      <c r="X45" s="642" t="str">
        <f aca="true" t="array" ref="X45:X45">IF($Y45&gt;0,CHOOSE(MATCH(RegimeExecucao,{"Unitário","Global"},0),IF($A45="S",ROUND($H45,ORÇAMENTO!$AF$10),""),ROUND($I45,ORÇAMENTO!$AF$11)),"")</f>
        <v/>
      </c>
      <c r="Y45" s="642" t="n">
        <f aca="false">AO45-O45</f>
        <v>0</v>
      </c>
      <c r="Z45" s="643"/>
      <c r="AB45" s="639"/>
      <c r="AC45" s="644"/>
      <c r="AD45" s="644"/>
      <c r="AE45" s="644"/>
      <c r="AF45" s="644"/>
      <c r="AG45" s="644"/>
      <c r="AH45" s="644"/>
      <c r="AI45" s="644"/>
      <c r="AJ45" s="644"/>
      <c r="AK45" s="644"/>
      <c r="AL45" s="644"/>
      <c r="AM45" s="640"/>
      <c r="AO45" s="0" t="n">
        <f aca="true" t="array" ref="AO45:AO45">IF($A45="S",IF(BM!$I45=0,0,CHOOSE(MATCH(RegimeExecucao,{"Global","Unitário"},0),ROUND(ROUND(BM.MEDAcumulado,15-13*BM!$A$9)/100*BM!$I45,15-13*ORÇAMENTO!$AF$11),ROUND(ROUND(BM.MEDAcumulado,15-13*BM!$A$9)*ROUND(BM!$H45,15-13*ORÇAMENTO!$AF$10),15-13*ORÇAMENTO!$AF$11))),IF($A45=0,0,ROUND(SomaAgrupBM,15-13*ORÇAMENTO!$AF$11)))</f>
        <v>0</v>
      </c>
    </row>
    <row r="46" customFormat="false" ht="12.75" hidden="false" customHeight="false" outlineLevel="0" collapsed="false">
      <c r="A46" s="0" t="str">
        <f aca="false">ORÇAMENTO!C46</f>
        <v>S</v>
      </c>
      <c r="B46" s="0" t="n">
        <f aca="false">ORÇAMENTO!D46</f>
        <v>0</v>
      </c>
      <c r="C46" s="204" t="str">
        <f aca="false">IF(OR($I46&gt;0,$A46=1,$A46=2,$A46=3,$A46=4),"F","")</f>
        <v/>
      </c>
      <c r="D46" s="207" t="str">
        <f aca="false">ORÇAMENTO!O46</f>
        <v>-</v>
      </c>
      <c r="E46" s="343" t="str">
        <f aca="false">ORÇAMENTO.Descricao</f>
        <v>(Código não identificado nas referências)</v>
      </c>
      <c r="F46" s="344" t="str">
        <f aca="true" t="array" ref="F46:F46">IF(RegimeExecucao="Global","",ORÇAMENTO.Unidade)</f>
        <v>-</v>
      </c>
      <c r="G46" s="212" t="n">
        <f aca="true" t="array" ref="G46:G46">IF(RegimeExecucao="Global","",ORÇAMENTO!T46)</f>
        <v>4</v>
      </c>
      <c r="H46" s="212" t="n">
        <f aca="true" t="array" ref="H46:H46">IF(RegimeExecucao="Global","",ORÇAMENTO!W46)</f>
        <v>0</v>
      </c>
      <c r="I46" s="215" t="n">
        <f aca="false">ORÇAMENTO!X46</f>
        <v>0</v>
      </c>
      <c r="J46" s="636" t="n">
        <f aca="true" t="array" ref="J46:J46">IF($A46="S",IF(CAIXA.Modo,BM.AFAnterior,BM.MEDAnterior),IF(AND(RegimeExecucao="Global",$I46&gt;0,COUNTIF($AB$13:$AM$13,BM.medicao-1)&gt;0),M46/$I46*100,0))</f>
        <v>0</v>
      </c>
      <c r="K46" s="212" t="n">
        <f aca="false">L46-J46</f>
        <v>0</v>
      </c>
      <c r="L46" s="637" t="n">
        <f aca="true" t="array" ref="L46:L46">IF($A46="S",IF(CAIXA.Modo,BM.AFAcumulado,BM.MEDAcumulado),IF(AND(RegimeExecucao="Global",$I46&gt;0,COUNTIF($AB$13:$AM$13,BM.medicao)&gt;0),O46/$I46*100,0))</f>
        <v>0</v>
      </c>
      <c r="M46" s="638" t="n">
        <f aca="true" t="array" ref="M46:M46">IF($A46="S",VTOTALBM,IF($A46=0,0,ROUND(SomaAgrupBM,15-13*ORÇAMENTO!$AF$11)))</f>
        <v>0</v>
      </c>
      <c r="N46" s="224" t="n">
        <f aca="false">O46-M46</f>
        <v>0</v>
      </c>
      <c r="O46" s="215" t="n">
        <f aca="true" t="array" ref="O46:O46">IF($A46="S",VTOTALBM,IF($A46=0,0,ROUND(SomaAgrupBM,15-13*ORÇAMENTO!$AF$11)))</f>
        <v>0</v>
      </c>
      <c r="Q46" s="639"/>
      <c r="R46" s="640"/>
      <c r="T46" s="207" t="str">
        <f aca="false">IF($W46&gt;0,$D46,"")</f>
        <v/>
      </c>
      <c r="U46" s="343" t="str">
        <f aca="false">IF($W46&gt;0,$E46,"")</f>
        <v/>
      </c>
      <c r="V46" s="344" t="str">
        <f aca="true" t="array" ref="V46:V46">IF(AND($W46&gt;0,RegimeExecucao="Unitário"),$F46,"")</f>
        <v/>
      </c>
      <c r="W46" s="641" t="n">
        <f aca="true" t="array" ref="W46:W46">IF($Y46&gt;0,CHOOSE(MATCH(RegimeExecucao,{"Unitário","Global"},0),IF($A46="S",$Y46/$X46,""),($Y46/$X46)*100),0)</f>
        <v>0</v>
      </c>
      <c r="X46" s="642" t="str">
        <f aca="true" t="array" ref="X46:X46">IF($Y46&gt;0,CHOOSE(MATCH(RegimeExecucao,{"Unitário","Global"},0),IF($A46="S",ROUND($H46,ORÇAMENTO!$AF$10),""),ROUND($I46,ORÇAMENTO!$AF$11)),"")</f>
        <v/>
      </c>
      <c r="Y46" s="642" t="n">
        <f aca="false">AO46-O46</f>
        <v>0</v>
      </c>
      <c r="Z46" s="643"/>
      <c r="AB46" s="639"/>
      <c r="AC46" s="644"/>
      <c r="AD46" s="644"/>
      <c r="AE46" s="644"/>
      <c r="AF46" s="644"/>
      <c r="AG46" s="644"/>
      <c r="AH46" s="644"/>
      <c r="AI46" s="644"/>
      <c r="AJ46" s="644"/>
      <c r="AK46" s="644"/>
      <c r="AL46" s="644"/>
      <c r="AM46" s="640"/>
      <c r="AO46" s="0" t="n">
        <f aca="true" t="array" ref="AO46:AO46">IF($A46="S",IF(BM!$I46=0,0,CHOOSE(MATCH(RegimeExecucao,{"Global","Unitário"},0),ROUND(ROUND(BM.MEDAcumulado,15-13*BM!$A$9)/100*BM!$I46,15-13*ORÇAMENTO!$AF$11),ROUND(ROUND(BM.MEDAcumulado,15-13*BM!$A$9)*ROUND(BM!$H46,15-13*ORÇAMENTO!$AF$10),15-13*ORÇAMENTO!$AF$11))),IF($A46=0,0,ROUND(SomaAgrupBM,15-13*ORÇAMENTO!$AF$11)))</f>
        <v>0</v>
      </c>
    </row>
    <row r="47" customFormat="false" ht="12.75" hidden="false" customHeight="false" outlineLevel="0" collapsed="false">
      <c r="A47" s="0" t="str">
        <f aca="false">ORÇAMENTO!C47</f>
        <v>S</v>
      </c>
      <c r="B47" s="0" t="n">
        <f aca="false">ORÇAMENTO!D47</f>
        <v>0</v>
      </c>
      <c r="C47" s="204" t="str">
        <f aca="false">IF(OR($I47&gt;0,$A47=1,$A47=2,$A47=3,$A47=4),"F","")</f>
        <v/>
      </c>
      <c r="D47" s="207" t="str">
        <f aca="false">ORÇAMENTO!O47</f>
        <v>-</v>
      </c>
      <c r="E47" s="343" t="str">
        <f aca="false">ORÇAMENTO.Descricao</f>
        <v>(Código não identificado nas referências)</v>
      </c>
      <c r="F47" s="344" t="str">
        <f aca="true" t="array" ref="F47:F47">IF(RegimeExecucao="Global","",ORÇAMENTO.Unidade)</f>
        <v>-</v>
      </c>
      <c r="G47" s="212" t="n">
        <f aca="true" t="array" ref="G47:G47">IF(RegimeExecucao="Global","",ORÇAMENTO!T47)</f>
        <v>2</v>
      </c>
      <c r="H47" s="212" t="n">
        <f aca="true" t="array" ref="H47:H47">IF(RegimeExecucao="Global","",ORÇAMENTO!W47)</f>
        <v>0</v>
      </c>
      <c r="I47" s="215" t="n">
        <f aca="false">ORÇAMENTO!X47</f>
        <v>0</v>
      </c>
      <c r="J47" s="636" t="n">
        <f aca="true" t="array" ref="J47:J47">IF($A47="S",IF(CAIXA.Modo,BM.AFAnterior,BM.MEDAnterior),IF(AND(RegimeExecucao="Global",$I47&gt;0,COUNTIF($AB$13:$AM$13,BM.medicao-1)&gt;0),M47/$I47*100,0))</f>
        <v>0</v>
      </c>
      <c r="K47" s="212" t="n">
        <f aca="false">L47-J47</f>
        <v>0</v>
      </c>
      <c r="L47" s="637" t="n">
        <f aca="true" t="array" ref="L47:L47">IF($A47="S",IF(CAIXA.Modo,BM.AFAcumulado,BM.MEDAcumulado),IF(AND(RegimeExecucao="Global",$I47&gt;0,COUNTIF($AB$13:$AM$13,BM.medicao)&gt;0),O47/$I47*100,0))</f>
        <v>0</v>
      </c>
      <c r="M47" s="638" t="n">
        <f aca="true" t="array" ref="M47:M47">IF($A47="S",VTOTALBM,IF($A47=0,0,ROUND(SomaAgrupBM,15-13*ORÇAMENTO!$AF$11)))</f>
        <v>0</v>
      </c>
      <c r="N47" s="224" t="n">
        <f aca="false">O47-M47</f>
        <v>0</v>
      </c>
      <c r="O47" s="215" t="n">
        <f aca="true" t="array" ref="O47:O47">IF($A47="S",VTOTALBM,IF($A47=0,0,ROUND(SomaAgrupBM,15-13*ORÇAMENTO!$AF$11)))</f>
        <v>0</v>
      </c>
      <c r="Q47" s="639"/>
      <c r="R47" s="640"/>
      <c r="T47" s="207" t="str">
        <f aca="false">IF($W47&gt;0,$D47,"")</f>
        <v/>
      </c>
      <c r="U47" s="343" t="str">
        <f aca="false">IF($W47&gt;0,$E47,"")</f>
        <v/>
      </c>
      <c r="V47" s="344" t="str">
        <f aca="true" t="array" ref="V47:V47">IF(AND($W47&gt;0,RegimeExecucao="Unitário"),$F47,"")</f>
        <v/>
      </c>
      <c r="W47" s="641" t="n">
        <f aca="true" t="array" ref="W47:W47">IF($Y47&gt;0,CHOOSE(MATCH(RegimeExecucao,{"Unitário","Global"},0),IF($A47="S",$Y47/$X47,""),($Y47/$X47)*100),0)</f>
        <v>0</v>
      </c>
      <c r="X47" s="642" t="str">
        <f aca="true" t="array" ref="X47:X47">IF($Y47&gt;0,CHOOSE(MATCH(RegimeExecucao,{"Unitário","Global"},0),IF($A47="S",ROUND($H47,ORÇAMENTO!$AF$10),""),ROUND($I47,ORÇAMENTO!$AF$11)),"")</f>
        <v/>
      </c>
      <c r="Y47" s="642" t="n">
        <f aca="false">AO47-O47</f>
        <v>0</v>
      </c>
      <c r="Z47" s="643"/>
      <c r="AB47" s="639"/>
      <c r="AC47" s="644"/>
      <c r="AD47" s="644"/>
      <c r="AE47" s="644"/>
      <c r="AF47" s="644"/>
      <c r="AG47" s="644"/>
      <c r="AH47" s="644"/>
      <c r="AI47" s="644"/>
      <c r="AJ47" s="644"/>
      <c r="AK47" s="644"/>
      <c r="AL47" s="644"/>
      <c r="AM47" s="640"/>
      <c r="AO47" s="0" t="n">
        <f aca="true" t="array" ref="AO47:AO47">IF($A47="S",IF(BM!$I47=0,0,CHOOSE(MATCH(RegimeExecucao,{"Global","Unitário"},0),ROUND(ROUND(BM.MEDAcumulado,15-13*BM!$A$9)/100*BM!$I47,15-13*ORÇAMENTO!$AF$11),ROUND(ROUND(BM.MEDAcumulado,15-13*BM!$A$9)*ROUND(BM!$H47,15-13*ORÇAMENTO!$AF$10),15-13*ORÇAMENTO!$AF$11))),IF($A47=0,0,ROUND(SomaAgrupBM,15-13*ORÇAMENTO!$AF$11)))</f>
        <v>0</v>
      </c>
    </row>
    <row r="48" customFormat="false" ht="12.75" hidden="false" customHeight="false" outlineLevel="0" collapsed="false">
      <c r="A48" s="0" t="str">
        <f aca="false">ORÇAMENTO!C48</f>
        <v>S</v>
      </c>
      <c r="B48" s="0" t="n">
        <f aca="false">ORÇAMENTO!D48</f>
        <v>0</v>
      </c>
      <c r="C48" s="204" t="str">
        <f aca="false">IF(OR($I48&gt;0,$A48=1,$A48=2,$A48=3,$A48=4),"F","")</f>
        <v/>
      </c>
      <c r="D48" s="207" t="str">
        <f aca="false">ORÇAMENTO!O48</f>
        <v>-</v>
      </c>
      <c r="E48" s="343" t="str">
        <f aca="false">ORÇAMENTO.Descricao</f>
        <v>(Código não identificado nas referências)</v>
      </c>
      <c r="F48" s="344" t="str">
        <f aca="true" t="array" ref="F48:F48">IF(RegimeExecucao="Global","",ORÇAMENTO.Unidade)</f>
        <v>-</v>
      </c>
      <c r="G48" s="212" t="n">
        <f aca="true" t="array" ref="G48:G48">IF(RegimeExecucao="Global","",ORÇAMENTO!T48)</f>
        <v>1</v>
      </c>
      <c r="H48" s="212" t="n">
        <f aca="true" t="array" ref="H48:H48">IF(RegimeExecucao="Global","",ORÇAMENTO!W48)</f>
        <v>0</v>
      </c>
      <c r="I48" s="215" t="n">
        <f aca="false">ORÇAMENTO!X48</f>
        <v>0</v>
      </c>
      <c r="J48" s="636" t="n">
        <f aca="true" t="array" ref="J48:J48">IF($A48="S",IF(CAIXA.Modo,BM.AFAnterior,BM.MEDAnterior),IF(AND(RegimeExecucao="Global",$I48&gt;0,COUNTIF($AB$13:$AM$13,BM.medicao-1)&gt;0),M48/$I48*100,0))</f>
        <v>0</v>
      </c>
      <c r="K48" s="212" t="n">
        <f aca="false">L48-J48</f>
        <v>0</v>
      </c>
      <c r="L48" s="637" t="n">
        <f aca="true" t="array" ref="L48:L48">IF($A48="S",IF(CAIXA.Modo,BM.AFAcumulado,BM.MEDAcumulado),IF(AND(RegimeExecucao="Global",$I48&gt;0,COUNTIF($AB$13:$AM$13,BM.medicao)&gt;0),O48/$I48*100,0))</f>
        <v>0</v>
      </c>
      <c r="M48" s="638" t="n">
        <f aca="true" t="array" ref="M48:M48">IF($A48="S",VTOTALBM,IF($A48=0,0,ROUND(SomaAgrupBM,15-13*ORÇAMENTO!$AF$11)))</f>
        <v>0</v>
      </c>
      <c r="N48" s="224" t="n">
        <f aca="false">O48-M48</f>
        <v>0</v>
      </c>
      <c r="O48" s="215" t="n">
        <f aca="true" t="array" ref="O48:O48">IF($A48="S",VTOTALBM,IF($A48=0,0,ROUND(SomaAgrupBM,15-13*ORÇAMENTO!$AF$11)))</f>
        <v>0</v>
      </c>
      <c r="Q48" s="639"/>
      <c r="R48" s="640"/>
      <c r="T48" s="207" t="str">
        <f aca="false">IF($W48&gt;0,$D48,"")</f>
        <v/>
      </c>
      <c r="U48" s="343" t="str">
        <f aca="false">IF($W48&gt;0,$E48,"")</f>
        <v/>
      </c>
      <c r="V48" s="344" t="str">
        <f aca="true" t="array" ref="V48:V48">IF(AND($W48&gt;0,RegimeExecucao="Unitário"),$F48,"")</f>
        <v/>
      </c>
      <c r="W48" s="641" t="n">
        <f aca="true" t="array" ref="W48:W48">IF($Y48&gt;0,CHOOSE(MATCH(RegimeExecucao,{"Unitário","Global"},0),IF($A48="S",$Y48/$X48,""),($Y48/$X48)*100),0)</f>
        <v>0</v>
      </c>
      <c r="X48" s="642" t="str">
        <f aca="true" t="array" ref="X48:X48">IF($Y48&gt;0,CHOOSE(MATCH(RegimeExecucao,{"Unitário","Global"},0),IF($A48="S",ROUND($H48,ORÇAMENTO!$AF$10),""),ROUND($I48,ORÇAMENTO!$AF$11)),"")</f>
        <v/>
      </c>
      <c r="Y48" s="642" t="n">
        <f aca="false">AO48-O48</f>
        <v>0</v>
      </c>
      <c r="Z48" s="643"/>
      <c r="AB48" s="639"/>
      <c r="AC48" s="644"/>
      <c r="AD48" s="644"/>
      <c r="AE48" s="644"/>
      <c r="AF48" s="644"/>
      <c r="AG48" s="644"/>
      <c r="AH48" s="644"/>
      <c r="AI48" s="644"/>
      <c r="AJ48" s="644"/>
      <c r="AK48" s="644"/>
      <c r="AL48" s="644"/>
      <c r="AM48" s="640"/>
      <c r="AO48" s="0" t="n">
        <f aca="true" t="array" ref="AO48:AO48">IF($A48="S",IF(BM!$I48=0,0,CHOOSE(MATCH(RegimeExecucao,{"Global","Unitário"},0),ROUND(ROUND(BM.MEDAcumulado,15-13*BM!$A$9)/100*BM!$I48,15-13*ORÇAMENTO!$AF$11),ROUND(ROUND(BM.MEDAcumulado,15-13*BM!$A$9)*ROUND(BM!$H48,15-13*ORÇAMENTO!$AF$10),15-13*ORÇAMENTO!$AF$11))),IF($A48=0,0,ROUND(SomaAgrupBM,15-13*ORÇAMENTO!$AF$11)))</f>
        <v>0</v>
      </c>
    </row>
    <row r="49" customFormat="false" ht="12.75" hidden="false" customHeight="false" outlineLevel="0" collapsed="false">
      <c r="A49" s="0" t="n">
        <f aca="false">ORÇAMENTO!C49</f>
        <v>2</v>
      </c>
      <c r="B49" s="0" t="n">
        <f aca="false">ORÇAMENTO!D49</f>
        <v>3</v>
      </c>
      <c r="C49" s="204" t="str">
        <f aca="false">IF(OR($I49&gt;0,$A49=1,$A49=2,$A49=3,$A49=4),"F","")</f>
        <v>F</v>
      </c>
      <c r="D49" s="207" t="str">
        <f aca="false">ORÇAMENTO!O49</f>
        <v>1.9.</v>
      </c>
      <c r="E49" s="343" t="str">
        <f aca="false">ORÇAMENTO.Descricao</f>
        <v>PINTURA</v>
      </c>
      <c r="F49" s="344" t="str">
        <f aca="true" t="array" ref="F49:F49">IF(RegimeExecucao="Global","",ORÇAMENTO.Unidade)</f>
        <v>-</v>
      </c>
      <c r="G49" s="212" t="n">
        <f aca="true" t="array" ref="G49:G49">IF(RegimeExecucao="Global","",ORÇAMENTO!T49)</f>
        <v>0</v>
      </c>
      <c r="H49" s="212" t="n">
        <f aca="true" t="array" ref="H49:H49">IF(RegimeExecucao="Global","",ORÇAMENTO!W49)</f>
        <v>0</v>
      </c>
      <c r="I49" s="215" t="n">
        <f aca="false">ORÇAMENTO!X49</f>
        <v>0</v>
      </c>
      <c r="J49" s="636" t="n">
        <f aca="true" t="array" ref="J49:J49">IF($A49="S",IF(CAIXA.Modo,BM.AFAnterior,BM.MEDAnterior),IF(AND(RegimeExecucao="Global",$I49&gt;0,COUNTIF($AB$13:$AM$13,BM.medicao-1)&gt;0),M49/$I49*100,0))</f>
        <v>0</v>
      </c>
      <c r="K49" s="212" t="n">
        <f aca="false">L49-J49</f>
        <v>0</v>
      </c>
      <c r="L49" s="637" t="n">
        <f aca="true" t="array" ref="L49:L49">IF($A49="S",IF(CAIXA.Modo,BM.AFAcumulado,BM.MEDAcumulado),IF(AND(RegimeExecucao="Global",$I49&gt;0,COUNTIF($AB$13:$AM$13,BM.medicao)&gt;0),O49/$I49*100,0))</f>
        <v>0</v>
      </c>
      <c r="M49" s="638" t="n">
        <f aca="true" t="array" ref="M49:M49">IF($A49="S",VTOTALBM,IF($A49=0,0,ROUND(SomaAgrupBM,15-13*ORÇAMENTO!$AF$11)))</f>
        <v>0</v>
      </c>
      <c r="N49" s="224" t="n">
        <f aca="false">O49-M49</f>
        <v>0</v>
      </c>
      <c r="O49" s="215" t="n">
        <f aca="true" t="array" ref="O49:O49">IF($A49="S",VTOTALBM,IF($A49=0,0,ROUND(SomaAgrupBM,15-13*ORÇAMENTO!$AF$11)))</f>
        <v>0</v>
      </c>
      <c r="Q49" s="639"/>
      <c r="R49" s="640"/>
      <c r="T49" s="207" t="str">
        <f aca="false">IF($W49&gt;0,$D49,"")</f>
        <v/>
      </c>
      <c r="U49" s="343" t="str">
        <f aca="false">IF($W49&gt;0,$E49,"")</f>
        <v/>
      </c>
      <c r="V49" s="344" t="str">
        <f aca="true" t="array" ref="V49:V49">IF(AND($W49&gt;0,RegimeExecucao="Unitário"),$F49,"")</f>
        <v/>
      </c>
      <c r="W49" s="641" t="n">
        <f aca="true" t="array" ref="W49:W49">IF($Y49&gt;0,CHOOSE(MATCH(RegimeExecucao,{"Unitário","Global"},0),IF($A49="S",$Y49/$X49,""),($Y49/$X49)*100),0)</f>
        <v>0</v>
      </c>
      <c r="X49" s="642" t="str">
        <f aca="true" t="array" ref="X49:X49">IF($Y49&gt;0,CHOOSE(MATCH(RegimeExecucao,{"Unitário","Global"},0),IF($A49="S",ROUND($H49,ORÇAMENTO!$AF$10),""),ROUND($I49,ORÇAMENTO!$AF$11)),"")</f>
        <v/>
      </c>
      <c r="Y49" s="642" t="n">
        <f aca="false">AO49-O49</f>
        <v>0</v>
      </c>
      <c r="Z49" s="643"/>
      <c r="AB49" s="639"/>
      <c r="AC49" s="644"/>
      <c r="AD49" s="644"/>
      <c r="AE49" s="644"/>
      <c r="AF49" s="644"/>
      <c r="AG49" s="644"/>
      <c r="AH49" s="644"/>
      <c r="AI49" s="644"/>
      <c r="AJ49" s="644"/>
      <c r="AK49" s="644"/>
      <c r="AL49" s="644"/>
      <c r="AM49" s="640"/>
      <c r="AO49" s="0" t="n">
        <f aca="true" t="array" ref="AO49:AO49">IF($A49="S",IF(BM!$I49=0,0,CHOOSE(MATCH(RegimeExecucao,{"Global","Unitário"},0),ROUND(ROUND(BM.MEDAcumulado,15-13*BM!$A$9)/100*BM!$I49,15-13*ORÇAMENTO!$AF$11),ROUND(ROUND(BM.MEDAcumulado,15-13*BM!$A$9)*ROUND(BM!$H49,15-13*ORÇAMENTO!$AF$10),15-13*ORÇAMENTO!$AF$11))),IF($A49=0,0,ROUND(SomaAgrupBM,15-13*ORÇAMENTO!$AF$11)))</f>
        <v>0</v>
      </c>
    </row>
    <row r="50" customFormat="false" ht="12.75" hidden="false" customHeight="false" outlineLevel="0" collapsed="false">
      <c r="A50" s="0" t="str">
        <f aca="false">ORÇAMENTO!C50</f>
        <v>S</v>
      </c>
      <c r="B50" s="0" t="n">
        <f aca="false">ORÇAMENTO!D50</f>
        <v>0</v>
      </c>
      <c r="C50" s="204" t="str">
        <f aca="false">IF(OR($I50&gt;0,$A50=1,$A50=2,$A50=3,$A50=4),"F","")</f>
        <v/>
      </c>
      <c r="D50" s="207" t="str">
        <f aca="false">ORÇAMENTO!O50</f>
        <v>-</v>
      </c>
      <c r="E50" s="343" t="str">
        <f aca="false">ORÇAMENTO.Descricao</f>
        <v>(Código não identificado nas referências)</v>
      </c>
      <c r="F50" s="344" t="str">
        <f aca="true" t="array" ref="F50:F50">IF(RegimeExecucao="Global","",ORÇAMENTO.Unidade)</f>
        <v>-</v>
      </c>
      <c r="G50" s="212" t="n">
        <f aca="true" t="array" ref="G50:G50">IF(RegimeExecucao="Global","",ORÇAMENTO!T50)</f>
        <v>125</v>
      </c>
      <c r="H50" s="212" t="n">
        <f aca="true" t="array" ref="H50:H50">IF(RegimeExecucao="Global","",ORÇAMENTO!W50)</f>
        <v>0</v>
      </c>
      <c r="I50" s="215" t="n">
        <f aca="false">ORÇAMENTO!X50</f>
        <v>0</v>
      </c>
      <c r="J50" s="636" t="n">
        <f aca="true" t="array" ref="J50:J50">IF($A50="S",IF(CAIXA.Modo,BM.AFAnterior,BM.MEDAnterior),IF(AND(RegimeExecucao="Global",$I50&gt;0,COUNTIF($AB$13:$AM$13,BM.medicao-1)&gt;0),M50/$I50*100,0))</f>
        <v>0</v>
      </c>
      <c r="K50" s="212" t="n">
        <f aca="false">L50-J50</f>
        <v>0</v>
      </c>
      <c r="L50" s="637" t="n">
        <f aca="true" t="array" ref="L50:L50">IF($A50="S",IF(CAIXA.Modo,BM.AFAcumulado,BM.MEDAcumulado),IF(AND(RegimeExecucao="Global",$I50&gt;0,COUNTIF($AB$13:$AM$13,BM.medicao)&gt;0),O50/$I50*100,0))</f>
        <v>0</v>
      </c>
      <c r="M50" s="638" t="n">
        <f aca="true" t="array" ref="M50:M50">IF($A50="S",VTOTALBM,IF($A50=0,0,ROUND(SomaAgrupBM,15-13*ORÇAMENTO!$AF$11)))</f>
        <v>0</v>
      </c>
      <c r="N50" s="224" t="n">
        <f aca="false">O50-M50</f>
        <v>0</v>
      </c>
      <c r="O50" s="215" t="n">
        <f aca="true" t="array" ref="O50:O50">IF($A50="S",VTOTALBM,IF($A50=0,0,ROUND(SomaAgrupBM,15-13*ORÇAMENTO!$AF$11)))</f>
        <v>0</v>
      </c>
      <c r="Q50" s="639"/>
      <c r="R50" s="640"/>
      <c r="T50" s="207" t="str">
        <f aca="false">IF($W50&gt;0,$D50,"")</f>
        <v/>
      </c>
      <c r="U50" s="343" t="str">
        <f aca="false">IF($W50&gt;0,$E50,"")</f>
        <v/>
      </c>
      <c r="V50" s="344" t="str">
        <f aca="true" t="array" ref="V50:V50">IF(AND($W50&gt;0,RegimeExecucao="Unitário"),$F50,"")</f>
        <v/>
      </c>
      <c r="W50" s="641" t="n">
        <f aca="true" t="array" ref="W50:W50">IF($Y50&gt;0,CHOOSE(MATCH(RegimeExecucao,{"Unitário","Global"},0),IF($A50="S",$Y50/$X50,""),($Y50/$X50)*100),0)</f>
        <v>0</v>
      </c>
      <c r="X50" s="642" t="str">
        <f aca="true" t="array" ref="X50:X50">IF($Y50&gt;0,CHOOSE(MATCH(RegimeExecucao,{"Unitário","Global"},0),IF($A50="S",ROUND($H50,ORÇAMENTO!$AF$10),""),ROUND($I50,ORÇAMENTO!$AF$11)),"")</f>
        <v/>
      </c>
      <c r="Y50" s="642" t="n">
        <f aca="false">AO50-O50</f>
        <v>0</v>
      </c>
      <c r="Z50" s="643"/>
      <c r="AB50" s="639"/>
      <c r="AC50" s="644"/>
      <c r="AD50" s="644"/>
      <c r="AE50" s="644"/>
      <c r="AF50" s="644"/>
      <c r="AG50" s="644"/>
      <c r="AH50" s="644"/>
      <c r="AI50" s="644"/>
      <c r="AJ50" s="644"/>
      <c r="AK50" s="644"/>
      <c r="AL50" s="644"/>
      <c r="AM50" s="640"/>
      <c r="AO50" s="0" t="n">
        <f aca="true" t="array" ref="AO50:AO50">IF($A50="S",IF(BM!$I50=0,0,CHOOSE(MATCH(RegimeExecucao,{"Global","Unitário"},0),ROUND(ROUND(BM.MEDAcumulado,15-13*BM!$A$9)/100*BM!$I50,15-13*ORÇAMENTO!$AF$11),ROUND(ROUND(BM.MEDAcumulado,15-13*BM!$A$9)*ROUND(BM!$H50,15-13*ORÇAMENTO!$AF$10),15-13*ORÇAMENTO!$AF$11))),IF($A50=0,0,ROUND(SomaAgrupBM,15-13*ORÇAMENTO!$AF$11)))</f>
        <v>0</v>
      </c>
    </row>
    <row r="51" customFormat="false" ht="12.75" hidden="false" customHeight="false" outlineLevel="0" collapsed="false">
      <c r="A51" s="0" t="str">
        <f aca="false">ORÇAMENTO!C51</f>
        <v>S</v>
      </c>
      <c r="B51" s="0" t="n">
        <f aca="false">ORÇAMENTO!D51</f>
        <v>0</v>
      </c>
      <c r="C51" s="204" t="str">
        <f aca="false">IF(OR($I51&gt;0,$A51=1,$A51=2,$A51=3,$A51=4),"F","")</f>
        <v/>
      </c>
      <c r="D51" s="207" t="str">
        <f aca="false">ORÇAMENTO!O51</f>
        <v>-</v>
      </c>
      <c r="E51" s="343" t="str">
        <f aca="false">ORÇAMENTO.Descricao</f>
        <v>(Código não identificado nas referências)</v>
      </c>
      <c r="F51" s="344" t="str">
        <f aca="true" t="array" ref="F51:F51">IF(RegimeExecucao="Global","",ORÇAMENTO.Unidade)</f>
        <v>-</v>
      </c>
      <c r="G51" s="212" t="n">
        <f aca="true" t="array" ref="G51:G51">IF(RegimeExecucao="Global","",ORÇAMENTO!T51)</f>
        <v>300</v>
      </c>
      <c r="H51" s="212" t="n">
        <f aca="true" t="array" ref="H51:H51">IF(RegimeExecucao="Global","",ORÇAMENTO!W51)</f>
        <v>0</v>
      </c>
      <c r="I51" s="215" t="n">
        <f aca="false">ORÇAMENTO!X51</f>
        <v>0</v>
      </c>
      <c r="J51" s="636" t="n">
        <f aca="true" t="array" ref="J51:J51">IF($A51="S",IF(CAIXA.Modo,BM.AFAnterior,BM.MEDAnterior),IF(AND(RegimeExecucao="Global",$I51&gt;0,COUNTIF($AB$13:$AM$13,BM.medicao-1)&gt;0),M51/$I51*100,0))</f>
        <v>0</v>
      </c>
      <c r="K51" s="212" t="n">
        <f aca="false">L51-J51</f>
        <v>0</v>
      </c>
      <c r="L51" s="637" t="n">
        <f aca="true" t="array" ref="L51:L51">IF($A51="S",IF(CAIXA.Modo,BM.AFAcumulado,BM.MEDAcumulado),IF(AND(RegimeExecucao="Global",$I51&gt;0,COUNTIF($AB$13:$AM$13,BM.medicao)&gt;0),O51/$I51*100,0))</f>
        <v>0</v>
      </c>
      <c r="M51" s="638" t="n">
        <f aca="true" t="array" ref="M51:M51">IF($A51="S",VTOTALBM,IF($A51=0,0,ROUND(SomaAgrupBM,15-13*ORÇAMENTO!$AF$11)))</f>
        <v>0</v>
      </c>
      <c r="N51" s="224" t="n">
        <f aca="false">O51-M51</f>
        <v>0</v>
      </c>
      <c r="O51" s="215" t="n">
        <f aca="true" t="array" ref="O51:O51">IF($A51="S",VTOTALBM,IF($A51=0,0,ROUND(SomaAgrupBM,15-13*ORÇAMENTO!$AF$11)))</f>
        <v>0</v>
      </c>
      <c r="Q51" s="639"/>
      <c r="R51" s="640"/>
      <c r="T51" s="207" t="str">
        <f aca="false">IF($W51&gt;0,$D51,"")</f>
        <v/>
      </c>
      <c r="U51" s="343" t="str">
        <f aca="false">IF($W51&gt;0,$E51,"")</f>
        <v/>
      </c>
      <c r="V51" s="344" t="str">
        <f aca="true" t="array" ref="V51:V51">IF(AND($W51&gt;0,RegimeExecucao="Unitário"),$F51,"")</f>
        <v/>
      </c>
      <c r="W51" s="641" t="n">
        <f aca="true" t="array" ref="W51:W51">IF($Y51&gt;0,CHOOSE(MATCH(RegimeExecucao,{"Unitário","Global"},0),IF($A51="S",$Y51/$X51,""),($Y51/$X51)*100),0)</f>
        <v>0</v>
      </c>
      <c r="X51" s="642" t="str">
        <f aca="true" t="array" ref="X51:X51">IF($Y51&gt;0,CHOOSE(MATCH(RegimeExecucao,{"Unitário","Global"},0),IF($A51="S",ROUND($H51,ORÇAMENTO!$AF$10),""),ROUND($I51,ORÇAMENTO!$AF$11)),"")</f>
        <v/>
      </c>
      <c r="Y51" s="642" t="n">
        <f aca="false">AO51-O51</f>
        <v>0</v>
      </c>
      <c r="Z51" s="643"/>
      <c r="AB51" s="639"/>
      <c r="AC51" s="644"/>
      <c r="AD51" s="644"/>
      <c r="AE51" s="644"/>
      <c r="AF51" s="644"/>
      <c r="AG51" s="644"/>
      <c r="AH51" s="644"/>
      <c r="AI51" s="644"/>
      <c r="AJ51" s="644"/>
      <c r="AK51" s="644"/>
      <c r="AL51" s="644"/>
      <c r="AM51" s="640"/>
      <c r="AO51" s="0" t="n">
        <f aca="true" t="array" ref="AO51:AO51">IF($A51="S",IF(BM!$I51=0,0,CHOOSE(MATCH(RegimeExecucao,{"Global","Unitário"},0),ROUND(ROUND(BM.MEDAcumulado,15-13*BM!$A$9)/100*BM!$I51,15-13*ORÇAMENTO!$AF$11),ROUND(ROUND(BM.MEDAcumulado,15-13*BM!$A$9)*ROUND(BM!$H51,15-13*ORÇAMENTO!$AF$10),15-13*ORÇAMENTO!$AF$11))),IF($A51=0,0,ROUND(SomaAgrupBM,15-13*ORÇAMENTO!$AF$11)))</f>
        <v>0</v>
      </c>
    </row>
    <row r="52" customFormat="false" ht="12.75" hidden="false" customHeight="false" outlineLevel="0" collapsed="false">
      <c r="A52" s="0" t="n">
        <f aca="false">ORÇAMENTO!C52</f>
        <v>2</v>
      </c>
      <c r="B52" s="0" t="n">
        <f aca="false">ORÇAMENTO!D52</f>
        <v>3</v>
      </c>
      <c r="C52" s="204" t="str">
        <f aca="false">IF(OR($I52&gt;0,$A52=1,$A52=2,$A52=3,$A52=4),"F","")</f>
        <v>F</v>
      </c>
      <c r="D52" s="207" t="str">
        <f aca="false">ORÇAMENTO!O52</f>
        <v>1.10.</v>
      </c>
      <c r="E52" s="343" t="str">
        <f aca="false">ORÇAMENTO.Descricao</f>
        <v>PAISAGISMO</v>
      </c>
      <c r="F52" s="344" t="str">
        <f aca="true" t="array" ref="F52:F52">IF(RegimeExecucao="Global","",ORÇAMENTO.Unidade)</f>
        <v>-</v>
      </c>
      <c r="G52" s="212" t="n">
        <f aca="true" t="array" ref="G52:G52">IF(RegimeExecucao="Global","",ORÇAMENTO!T52)</f>
        <v>0</v>
      </c>
      <c r="H52" s="212" t="n">
        <f aca="true" t="array" ref="H52:H52">IF(RegimeExecucao="Global","",ORÇAMENTO!W52)</f>
        <v>0</v>
      </c>
      <c r="I52" s="215" t="n">
        <f aca="false">ORÇAMENTO!X52</f>
        <v>0</v>
      </c>
      <c r="J52" s="636" t="n">
        <f aca="true" t="array" ref="J52:J52">IF($A52="S",IF(CAIXA.Modo,BM.AFAnterior,BM.MEDAnterior),IF(AND(RegimeExecucao="Global",$I52&gt;0,COUNTIF($AB$13:$AM$13,BM.medicao-1)&gt;0),M52/$I52*100,0))</f>
        <v>0</v>
      </c>
      <c r="K52" s="212" t="n">
        <f aca="false">L52-J52</f>
        <v>0</v>
      </c>
      <c r="L52" s="637" t="n">
        <f aca="true" t="array" ref="L52:L52">IF($A52="S",IF(CAIXA.Modo,BM.AFAcumulado,BM.MEDAcumulado),IF(AND(RegimeExecucao="Global",$I52&gt;0,COUNTIF($AB$13:$AM$13,BM.medicao)&gt;0),O52/$I52*100,0))</f>
        <v>0</v>
      </c>
      <c r="M52" s="638" t="n">
        <f aca="true" t="array" ref="M52:M52">IF($A52="S",VTOTALBM,IF($A52=0,0,ROUND(SomaAgrupBM,15-13*ORÇAMENTO!$AF$11)))</f>
        <v>0</v>
      </c>
      <c r="N52" s="224" t="n">
        <f aca="false">O52-M52</f>
        <v>0</v>
      </c>
      <c r="O52" s="215" t="n">
        <f aca="true" t="array" ref="O52:O52">IF($A52="S",VTOTALBM,IF($A52=0,0,ROUND(SomaAgrupBM,15-13*ORÇAMENTO!$AF$11)))</f>
        <v>0</v>
      </c>
      <c r="Q52" s="639"/>
      <c r="R52" s="640"/>
      <c r="T52" s="207" t="str">
        <f aca="false">IF($W52&gt;0,$D52,"")</f>
        <v/>
      </c>
      <c r="U52" s="343" t="str">
        <f aca="false">IF($W52&gt;0,$E52,"")</f>
        <v/>
      </c>
      <c r="V52" s="344" t="str">
        <f aca="true" t="array" ref="V52:V52">IF(AND($W52&gt;0,RegimeExecucao="Unitário"),$F52,"")</f>
        <v/>
      </c>
      <c r="W52" s="641" t="n">
        <f aca="true" t="array" ref="W52:W52">IF($Y52&gt;0,CHOOSE(MATCH(RegimeExecucao,{"Unitário","Global"},0),IF($A52="S",$Y52/$X52,""),($Y52/$X52)*100),0)</f>
        <v>0</v>
      </c>
      <c r="X52" s="642" t="str">
        <f aca="true" t="array" ref="X52:X52">IF($Y52&gt;0,CHOOSE(MATCH(RegimeExecucao,{"Unitário","Global"},0),IF($A52="S",ROUND($H52,ORÇAMENTO!$AF$10),""),ROUND($I52,ORÇAMENTO!$AF$11)),"")</f>
        <v/>
      </c>
      <c r="Y52" s="642" t="n">
        <f aca="false">AO52-O52</f>
        <v>0</v>
      </c>
      <c r="Z52" s="643"/>
      <c r="AB52" s="639"/>
      <c r="AC52" s="644"/>
      <c r="AD52" s="644"/>
      <c r="AE52" s="644"/>
      <c r="AF52" s="644"/>
      <c r="AG52" s="644"/>
      <c r="AH52" s="644"/>
      <c r="AI52" s="644"/>
      <c r="AJ52" s="644"/>
      <c r="AK52" s="644"/>
      <c r="AL52" s="644"/>
      <c r="AM52" s="640"/>
      <c r="AO52" s="0" t="n">
        <f aca="true" t="array" ref="AO52:AO52">IF($A52="S",IF(BM!$I52=0,0,CHOOSE(MATCH(RegimeExecucao,{"Global","Unitário"},0),ROUND(ROUND(BM.MEDAcumulado,15-13*BM!$A$9)/100*BM!$I52,15-13*ORÇAMENTO!$AF$11),ROUND(ROUND(BM.MEDAcumulado,15-13*BM!$A$9)*ROUND(BM!$H52,15-13*ORÇAMENTO!$AF$10),15-13*ORÇAMENTO!$AF$11))),IF($A52=0,0,ROUND(SomaAgrupBM,15-13*ORÇAMENTO!$AF$11)))</f>
        <v>0</v>
      </c>
    </row>
    <row r="53" customFormat="false" ht="12.75" hidden="false" customHeight="false" outlineLevel="0" collapsed="false">
      <c r="A53" s="0" t="str">
        <f aca="false">ORÇAMENTO!C53</f>
        <v>S</v>
      </c>
      <c r="B53" s="0" t="n">
        <f aca="false">ORÇAMENTO!D53</f>
        <v>0</v>
      </c>
      <c r="C53" s="204" t="str">
        <f aca="false">IF(OR($I53&gt;0,$A53=1,$A53=2,$A53=3,$A53=4),"F","")</f>
        <v/>
      </c>
      <c r="D53" s="207" t="str">
        <f aca="false">ORÇAMENTO!O53</f>
        <v>-</v>
      </c>
      <c r="E53" s="343" t="str">
        <f aca="false">ORÇAMENTO.Descricao</f>
        <v>(Código não identificado nas referências)</v>
      </c>
      <c r="F53" s="344" t="str">
        <f aca="true" t="array" ref="F53:F53">IF(RegimeExecucao="Global","",ORÇAMENTO.Unidade)</f>
        <v>M2</v>
      </c>
      <c r="G53" s="212" t="n">
        <f aca="true" t="array" ref="G53:G53">IF(RegimeExecucao="Global","",ORÇAMENTO!T53)</f>
        <v>250</v>
      </c>
      <c r="H53" s="212" t="n">
        <f aca="true" t="array" ref="H53:H53">IF(RegimeExecucao="Global","",ORÇAMENTO!W53)</f>
        <v>0</v>
      </c>
      <c r="I53" s="215" t="n">
        <f aca="false">ORÇAMENTO!X53</f>
        <v>0</v>
      </c>
      <c r="J53" s="636" t="n">
        <f aca="true" t="array" ref="J53:J53">IF($A53="S",IF(CAIXA.Modo,BM.AFAnterior,BM.MEDAnterior),IF(AND(RegimeExecucao="Global",$I53&gt;0,COUNTIF($AB$13:$AM$13,BM.medicao-1)&gt;0),M53/$I53*100,0))</f>
        <v>0</v>
      </c>
      <c r="K53" s="212" t="n">
        <f aca="false">L53-J53</f>
        <v>0</v>
      </c>
      <c r="L53" s="637" t="n">
        <f aca="true" t="array" ref="L53:L53">IF($A53="S",IF(CAIXA.Modo,BM.AFAcumulado,BM.MEDAcumulado),IF(AND(RegimeExecucao="Global",$I53&gt;0,COUNTIF($AB$13:$AM$13,BM.medicao)&gt;0),O53/$I53*100,0))</f>
        <v>0</v>
      </c>
      <c r="M53" s="638" t="n">
        <f aca="true" t="array" ref="M53:M53">IF($A53="S",VTOTALBM,IF($A53=0,0,ROUND(SomaAgrupBM,15-13*ORÇAMENTO!$AF$11)))</f>
        <v>0</v>
      </c>
      <c r="N53" s="224" t="n">
        <f aca="false">O53-M53</f>
        <v>0</v>
      </c>
      <c r="O53" s="215" t="n">
        <f aca="true" t="array" ref="O53:O53">IF($A53="S",VTOTALBM,IF($A53=0,0,ROUND(SomaAgrupBM,15-13*ORÇAMENTO!$AF$11)))</f>
        <v>0</v>
      </c>
      <c r="Q53" s="639"/>
      <c r="R53" s="640"/>
      <c r="T53" s="207" t="str">
        <f aca="false">IF($W53&gt;0,$D53,"")</f>
        <v/>
      </c>
      <c r="U53" s="343" t="str">
        <f aca="false">IF($W53&gt;0,$E53,"")</f>
        <v/>
      </c>
      <c r="V53" s="344" t="str">
        <f aca="true" t="array" ref="V53:V53">IF(AND($W53&gt;0,RegimeExecucao="Unitário"),$F53,"")</f>
        <v/>
      </c>
      <c r="W53" s="641" t="n">
        <f aca="true" t="array" ref="W53:W53">IF($Y53&gt;0,CHOOSE(MATCH(RegimeExecucao,{"Unitário","Global"},0),IF($A53="S",$Y53/$X53,""),($Y53/$X53)*100),0)</f>
        <v>0</v>
      </c>
      <c r="X53" s="642" t="str">
        <f aca="true" t="array" ref="X53:X53">IF($Y53&gt;0,CHOOSE(MATCH(RegimeExecucao,{"Unitário","Global"},0),IF($A53="S",ROUND($H53,ORÇAMENTO!$AF$10),""),ROUND($I53,ORÇAMENTO!$AF$11)),"")</f>
        <v/>
      </c>
      <c r="Y53" s="642" t="n">
        <f aca="false">AO53-O53</f>
        <v>0</v>
      </c>
      <c r="Z53" s="643"/>
      <c r="AB53" s="639"/>
      <c r="AC53" s="644"/>
      <c r="AD53" s="644"/>
      <c r="AE53" s="644"/>
      <c r="AF53" s="644"/>
      <c r="AG53" s="644"/>
      <c r="AH53" s="644"/>
      <c r="AI53" s="644"/>
      <c r="AJ53" s="644"/>
      <c r="AK53" s="644"/>
      <c r="AL53" s="644"/>
      <c r="AM53" s="640"/>
      <c r="AO53" s="0" t="n">
        <f aca="true" t="array" ref="AO53:AO53">IF($A53="S",IF(BM!$I53=0,0,CHOOSE(MATCH(RegimeExecucao,{"Global","Unitário"},0),ROUND(ROUND(BM.MEDAcumulado,15-13*BM!$A$9)/100*BM!$I53,15-13*ORÇAMENTO!$AF$11),ROUND(ROUND(BM.MEDAcumulado,15-13*BM!$A$9)*ROUND(BM!$H53,15-13*ORÇAMENTO!$AF$10),15-13*ORÇAMENTO!$AF$11))),IF($A53=0,0,ROUND(SomaAgrupBM,15-13*ORÇAMENTO!$AF$11)))</f>
        <v>0</v>
      </c>
    </row>
    <row r="54" customFormat="false" ht="12.75" hidden="false" customHeight="false" outlineLevel="0" collapsed="false">
      <c r="A54" s="0" t="str">
        <f aca="false">ORÇAMENTO!C54</f>
        <v>S</v>
      </c>
      <c r="B54" s="0" t="n">
        <f aca="false">ORÇAMENTO!D54</f>
        <v>0</v>
      </c>
      <c r="C54" s="204" t="str">
        <f aca="false">IF(OR($I54&gt;0,$A54=1,$A54=2,$A54=3,$A54=4),"F","")</f>
        <v/>
      </c>
      <c r="D54" s="207" t="str">
        <f aca="false">ORÇAMENTO!O54</f>
        <v>-</v>
      </c>
      <c r="E54" s="343" t="str">
        <f aca="false">ORÇAMENTO.Descricao</f>
        <v>(Código não identificado nas referências)</v>
      </c>
      <c r="F54" s="344" t="str">
        <f aca="true" t="array" ref="F54:F54">IF(RegimeExecucao="Global","",ORÇAMENTO.Unidade)</f>
        <v>-</v>
      </c>
      <c r="G54" s="212" t="n">
        <f aca="true" t="array" ref="G54:G54">IF(RegimeExecucao="Global","",ORÇAMENTO!T54)</f>
        <v>50</v>
      </c>
      <c r="H54" s="212" t="n">
        <f aca="true" t="array" ref="H54:H54">IF(RegimeExecucao="Global","",ORÇAMENTO!W54)</f>
        <v>0</v>
      </c>
      <c r="I54" s="215" t="n">
        <f aca="false">ORÇAMENTO!X54</f>
        <v>0</v>
      </c>
      <c r="J54" s="636" t="n">
        <f aca="true" t="array" ref="J54:J54">IF($A54="S",IF(CAIXA.Modo,BM.AFAnterior,BM.MEDAnterior),IF(AND(RegimeExecucao="Global",$I54&gt;0,COUNTIF($AB$13:$AM$13,BM.medicao-1)&gt;0),M54/$I54*100,0))</f>
        <v>0</v>
      </c>
      <c r="K54" s="212" t="n">
        <f aca="false">L54-J54</f>
        <v>0</v>
      </c>
      <c r="L54" s="637" t="n">
        <f aca="true" t="array" ref="L54:L54">IF($A54="S",IF(CAIXA.Modo,BM.AFAcumulado,BM.MEDAcumulado),IF(AND(RegimeExecucao="Global",$I54&gt;0,COUNTIF($AB$13:$AM$13,BM.medicao)&gt;0),O54/$I54*100,0))</f>
        <v>0</v>
      </c>
      <c r="M54" s="638" t="n">
        <f aca="true" t="array" ref="M54:M54">IF($A54="S",VTOTALBM,IF($A54=0,0,ROUND(SomaAgrupBM,15-13*ORÇAMENTO!$AF$11)))</f>
        <v>0</v>
      </c>
      <c r="N54" s="224" t="n">
        <f aca="false">O54-M54</f>
        <v>0</v>
      </c>
      <c r="O54" s="215" t="n">
        <f aca="true" t="array" ref="O54:O54">IF($A54="S",VTOTALBM,IF($A54=0,0,ROUND(SomaAgrupBM,15-13*ORÇAMENTO!$AF$11)))</f>
        <v>0</v>
      </c>
      <c r="Q54" s="639"/>
      <c r="R54" s="640"/>
      <c r="T54" s="207" t="str">
        <f aca="false">IF($W54&gt;0,$D54,"")</f>
        <v/>
      </c>
      <c r="U54" s="343" t="str">
        <f aca="false">IF($W54&gt;0,$E54,"")</f>
        <v/>
      </c>
      <c r="V54" s="344" t="str">
        <f aca="true" t="array" ref="V54:V54">IF(AND($W54&gt;0,RegimeExecucao="Unitário"),$F54,"")</f>
        <v/>
      </c>
      <c r="W54" s="641" t="n">
        <f aca="true" t="array" ref="W54:W54">IF($Y54&gt;0,CHOOSE(MATCH(RegimeExecucao,{"Unitário","Global"},0),IF($A54="S",$Y54/$X54,""),($Y54/$X54)*100),0)</f>
        <v>0</v>
      </c>
      <c r="X54" s="642" t="str">
        <f aca="true" t="array" ref="X54:X54">IF($Y54&gt;0,CHOOSE(MATCH(RegimeExecucao,{"Unitário","Global"},0),IF($A54="S",ROUND($H54,ORÇAMENTO!$AF$10),""),ROUND($I54,ORÇAMENTO!$AF$11)),"")</f>
        <v/>
      </c>
      <c r="Y54" s="642" t="n">
        <f aca="false">AO54-O54</f>
        <v>0</v>
      </c>
      <c r="Z54" s="643"/>
      <c r="AB54" s="639"/>
      <c r="AC54" s="644"/>
      <c r="AD54" s="644"/>
      <c r="AE54" s="644"/>
      <c r="AF54" s="644"/>
      <c r="AG54" s="644"/>
      <c r="AH54" s="644"/>
      <c r="AI54" s="644"/>
      <c r="AJ54" s="644"/>
      <c r="AK54" s="644"/>
      <c r="AL54" s="644"/>
      <c r="AM54" s="640"/>
      <c r="AO54" s="0" t="n">
        <f aca="true" t="array" ref="AO54:AO54">IF($A54="S",IF(BM!$I54=0,0,CHOOSE(MATCH(RegimeExecucao,{"Global","Unitário"},0),ROUND(ROUND(BM.MEDAcumulado,15-13*BM!$A$9)/100*BM!$I54,15-13*ORÇAMENTO!$AF$11),ROUND(ROUND(BM.MEDAcumulado,15-13*BM!$A$9)*ROUND(BM!$H54,15-13*ORÇAMENTO!$AF$10),15-13*ORÇAMENTO!$AF$11))),IF($A54=0,0,ROUND(SomaAgrupBM,15-13*ORÇAMENTO!$AF$11)))</f>
        <v>0</v>
      </c>
    </row>
    <row r="55" customFormat="false" ht="12.75" hidden="false" customHeight="false" outlineLevel="0" collapsed="false">
      <c r="A55" s="0" t="n">
        <f aca="false">ORÇAMENTO!C55</f>
        <v>2</v>
      </c>
      <c r="B55" s="0" t="n">
        <f aca="false">ORÇAMENTO!D55</f>
        <v>4</v>
      </c>
      <c r="C55" s="204" t="str">
        <f aca="false">IF(OR($I55&gt;0,$A55=1,$A55=2,$A55=3,$A55=4),"F","")</f>
        <v>F</v>
      </c>
      <c r="D55" s="207" t="str">
        <f aca="false">ORÇAMENTO!O55</f>
        <v>1.11.</v>
      </c>
      <c r="E55" s="343" t="str">
        <f aca="false">ORÇAMENTO.Descricao</f>
        <v>ILUMINAÇÃO</v>
      </c>
      <c r="F55" s="344" t="str">
        <f aca="true" t="array" ref="F55:F55">IF(RegimeExecucao="Global","",ORÇAMENTO.Unidade)</f>
        <v>-</v>
      </c>
      <c r="G55" s="212" t="n">
        <f aca="true" t="array" ref="G55:G55">IF(RegimeExecucao="Global","",ORÇAMENTO!T55)</f>
        <v>0</v>
      </c>
      <c r="H55" s="212" t="n">
        <f aca="true" t="array" ref="H55:H55">IF(RegimeExecucao="Global","",ORÇAMENTO!W55)</f>
        <v>0</v>
      </c>
      <c r="I55" s="215" t="n">
        <f aca="false">ORÇAMENTO!X55</f>
        <v>0</v>
      </c>
      <c r="J55" s="636" t="n">
        <f aca="true" t="array" ref="J55:J55">IF($A55="S",IF(CAIXA.Modo,BM.AFAnterior,BM.MEDAnterior),IF(AND(RegimeExecucao="Global",$I55&gt;0,COUNTIF($AB$13:$AM$13,BM.medicao-1)&gt;0),M55/$I55*100,0))</f>
        <v>0</v>
      </c>
      <c r="K55" s="212" t="n">
        <f aca="false">L55-J55</f>
        <v>0</v>
      </c>
      <c r="L55" s="637" t="n">
        <f aca="true" t="array" ref="L55:L55">IF($A55="S",IF(CAIXA.Modo,BM.AFAcumulado,BM.MEDAcumulado),IF(AND(RegimeExecucao="Global",$I55&gt;0,COUNTIF($AB$13:$AM$13,BM.medicao)&gt;0),O55/$I55*100,0))</f>
        <v>0</v>
      </c>
      <c r="M55" s="638" t="n">
        <f aca="true" t="array" ref="M55:M55">IF($A55="S",VTOTALBM,IF($A55=0,0,ROUND(SomaAgrupBM,15-13*ORÇAMENTO!$AF$11)))</f>
        <v>0</v>
      </c>
      <c r="N55" s="224" t="n">
        <f aca="false">O55-M55</f>
        <v>0</v>
      </c>
      <c r="O55" s="215" t="n">
        <f aca="true" t="array" ref="O55:O55">IF($A55="S",VTOTALBM,IF($A55=0,0,ROUND(SomaAgrupBM,15-13*ORÇAMENTO!$AF$11)))</f>
        <v>0</v>
      </c>
      <c r="Q55" s="639"/>
      <c r="R55" s="640"/>
      <c r="T55" s="207" t="str">
        <f aca="false">IF($W55&gt;0,$D55,"")</f>
        <v/>
      </c>
      <c r="U55" s="343" t="str">
        <f aca="false">IF($W55&gt;0,$E55,"")</f>
        <v/>
      </c>
      <c r="V55" s="344" t="str">
        <f aca="true" t="array" ref="V55:V55">IF(AND($W55&gt;0,RegimeExecucao="Unitário"),$F55,"")</f>
        <v/>
      </c>
      <c r="W55" s="641" t="n">
        <f aca="true" t="array" ref="W55:W55">IF($Y55&gt;0,CHOOSE(MATCH(RegimeExecucao,{"Unitário","Global"},0),IF($A55="S",$Y55/$X55,""),($Y55/$X55)*100),0)</f>
        <v>0</v>
      </c>
      <c r="X55" s="642" t="str">
        <f aca="true" t="array" ref="X55:X55">IF($Y55&gt;0,CHOOSE(MATCH(RegimeExecucao,{"Unitário","Global"},0),IF($A55="S",ROUND($H55,ORÇAMENTO!$AF$10),""),ROUND($I55,ORÇAMENTO!$AF$11)),"")</f>
        <v/>
      </c>
      <c r="Y55" s="642" t="n">
        <f aca="false">AO55-O55</f>
        <v>0</v>
      </c>
      <c r="Z55" s="643"/>
      <c r="AB55" s="639"/>
      <c r="AC55" s="644"/>
      <c r="AD55" s="644"/>
      <c r="AE55" s="644"/>
      <c r="AF55" s="644"/>
      <c r="AG55" s="644"/>
      <c r="AH55" s="644"/>
      <c r="AI55" s="644"/>
      <c r="AJ55" s="644"/>
      <c r="AK55" s="644"/>
      <c r="AL55" s="644"/>
      <c r="AM55" s="640"/>
      <c r="AO55" s="0" t="n">
        <f aca="true" t="array" ref="AO55:AO55">IF($A55="S",IF(BM!$I55=0,0,CHOOSE(MATCH(RegimeExecucao,{"Global","Unitário"},0),ROUND(ROUND(BM.MEDAcumulado,15-13*BM!$A$9)/100*BM!$I55,15-13*ORÇAMENTO!$AF$11),ROUND(ROUND(BM.MEDAcumulado,15-13*BM!$A$9)*ROUND(BM!$H55,15-13*ORÇAMENTO!$AF$10),15-13*ORÇAMENTO!$AF$11))),IF($A55=0,0,ROUND(SomaAgrupBM,15-13*ORÇAMENTO!$AF$11)))</f>
        <v>0</v>
      </c>
    </row>
    <row r="56" customFormat="false" ht="12.75" hidden="false" customHeight="false" outlineLevel="0" collapsed="false">
      <c r="A56" s="0" t="str">
        <f aca="false">ORÇAMENTO!C56</f>
        <v>S</v>
      </c>
      <c r="B56" s="0" t="n">
        <f aca="false">ORÇAMENTO!D56</f>
        <v>0</v>
      </c>
      <c r="C56" s="204" t="str">
        <f aca="false">IF(OR($I56&gt;0,$A56=1,$A56=2,$A56=3,$A56=4),"F","")</f>
        <v/>
      </c>
      <c r="D56" s="207" t="str">
        <f aca="false">ORÇAMENTO!O56</f>
        <v>-</v>
      </c>
      <c r="E56" s="343" t="str">
        <f aca="false">ORÇAMENTO.Descricao</f>
        <v>(Código não identificado nas referências)</v>
      </c>
      <c r="F56" s="344" t="str">
        <f aca="true" t="array" ref="F56:F56">IF(RegimeExecucao="Global","",ORÇAMENTO.Unidade)</f>
        <v>-</v>
      </c>
      <c r="G56" s="212" t="n">
        <f aca="true" t="array" ref="G56:G56">IF(RegimeExecucao="Global","",ORÇAMENTO!T56)</f>
        <v>120</v>
      </c>
      <c r="H56" s="212" t="n">
        <f aca="true" t="array" ref="H56:H56">IF(RegimeExecucao="Global","",ORÇAMENTO!W56)</f>
        <v>0</v>
      </c>
      <c r="I56" s="215" t="n">
        <f aca="false">ORÇAMENTO!X56</f>
        <v>0</v>
      </c>
      <c r="J56" s="636" t="n">
        <f aca="true" t="array" ref="J56:J56">IF($A56="S",IF(CAIXA.Modo,BM.AFAnterior,BM.MEDAnterior),IF(AND(RegimeExecucao="Global",$I56&gt;0,COUNTIF($AB$13:$AM$13,BM.medicao-1)&gt;0),M56/$I56*100,0))</f>
        <v>0</v>
      </c>
      <c r="K56" s="212" t="n">
        <f aca="false">L56-J56</f>
        <v>0</v>
      </c>
      <c r="L56" s="637" t="n">
        <f aca="true" t="array" ref="L56:L56">IF($A56="S",IF(CAIXA.Modo,BM.AFAcumulado,BM.MEDAcumulado),IF(AND(RegimeExecucao="Global",$I56&gt;0,COUNTIF($AB$13:$AM$13,BM.medicao)&gt;0),O56/$I56*100,0))</f>
        <v>0</v>
      </c>
      <c r="M56" s="638" t="n">
        <f aca="true" t="array" ref="M56:M56">IF($A56="S",VTOTALBM,IF($A56=0,0,ROUND(SomaAgrupBM,15-13*ORÇAMENTO!$AF$11)))</f>
        <v>0</v>
      </c>
      <c r="N56" s="224" t="n">
        <f aca="false">O56-M56</f>
        <v>0</v>
      </c>
      <c r="O56" s="215" t="n">
        <f aca="true" t="array" ref="O56:O56">IF($A56="S",VTOTALBM,IF($A56=0,0,ROUND(SomaAgrupBM,15-13*ORÇAMENTO!$AF$11)))</f>
        <v>0</v>
      </c>
      <c r="Q56" s="639"/>
      <c r="R56" s="640"/>
      <c r="T56" s="207" t="str">
        <f aca="false">IF($W56&gt;0,$D56,"")</f>
        <v/>
      </c>
      <c r="U56" s="343" t="str">
        <f aca="false">IF($W56&gt;0,$E56,"")</f>
        <v/>
      </c>
      <c r="V56" s="344" t="str">
        <f aca="true" t="array" ref="V56:V56">IF(AND($W56&gt;0,RegimeExecucao="Unitário"),$F56,"")</f>
        <v/>
      </c>
      <c r="W56" s="641" t="n">
        <f aca="true" t="array" ref="W56:W56">IF($Y56&gt;0,CHOOSE(MATCH(RegimeExecucao,{"Unitário","Global"},0),IF($A56="S",$Y56/$X56,""),($Y56/$X56)*100),0)</f>
        <v>0</v>
      </c>
      <c r="X56" s="642" t="str">
        <f aca="true" t="array" ref="X56:X56">IF($Y56&gt;0,CHOOSE(MATCH(RegimeExecucao,{"Unitário","Global"},0),IF($A56="S",ROUND($H56,ORÇAMENTO!$AF$10),""),ROUND($I56,ORÇAMENTO!$AF$11)),"")</f>
        <v/>
      </c>
      <c r="Y56" s="642" t="n">
        <f aca="false">AO56-O56</f>
        <v>0</v>
      </c>
      <c r="Z56" s="643"/>
      <c r="AB56" s="639"/>
      <c r="AC56" s="644"/>
      <c r="AD56" s="644"/>
      <c r="AE56" s="644"/>
      <c r="AF56" s="644"/>
      <c r="AG56" s="644"/>
      <c r="AH56" s="644"/>
      <c r="AI56" s="644"/>
      <c r="AJ56" s="644"/>
      <c r="AK56" s="644"/>
      <c r="AL56" s="644"/>
      <c r="AM56" s="640"/>
      <c r="AO56" s="0" t="n">
        <f aca="true" t="array" ref="AO56:AO56">IF($A56="S",IF(BM!$I56=0,0,CHOOSE(MATCH(RegimeExecucao,{"Global","Unitário"},0),ROUND(ROUND(BM.MEDAcumulado,15-13*BM!$A$9)/100*BM!$I56,15-13*ORÇAMENTO!$AF$11),ROUND(ROUND(BM.MEDAcumulado,15-13*BM!$A$9)*ROUND(BM!$H56,15-13*ORÇAMENTO!$AF$10),15-13*ORÇAMENTO!$AF$11))),IF($A56=0,0,ROUND(SomaAgrupBM,15-13*ORÇAMENTO!$AF$11)))</f>
        <v>0</v>
      </c>
    </row>
    <row r="57" customFormat="false" ht="12.75" hidden="false" customHeight="false" outlineLevel="0" collapsed="false">
      <c r="A57" s="0" t="str">
        <f aca="false">ORÇAMENTO!C57</f>
        <v>S</v>
      </c>
      <c r="B57" s="0" t="n">
        <f aca="false">ORÇAMENTO!D57</f>
        <v>0</v>
      </c>
      <c r="C57" s="204" t="str">
        <f aca="false">IF(OR($I57&gt;0,$A57=1,$A57=2,$A57=3,$A57=4),"F","")</f>
        <v/>
      </c>
      <c r="D57" s="207" t="str">
        <f aca="false">ORÇAMENTO!O57</f>
        <v>-</v>
      </c>
      <c r="E57" s="343" t="str">
        <f aca="false">ORÇAMENTO.Descricao</f>
        <v>(Código não identificado nas referências)</v>
      </c>
      <c r="F57" s="344" t="str">
        <f aca="true" t="array" ref="F57:F57">IF(RegimeExecucao="Global","",ORÇAMENTO.Unidade)</f>
        <v>-</v>
      </c>
      <c r="G57" s="212" t="n">
        <f aca="true" t="array" ref="G57:G57">IF(RegimeExecucao="Global","",ORÇAMENTO!T57)</f>
        <v>20</v>
      </c>
      <c r="H57" s="212" t="n">
        <f aca="true" t="array" ref="H57:H57">IF(RegimeExecucao="Global","",ORÇAMENTO!W57)</f>
        <v>0</v>
      </c>
      <c r="I57" s="215" t="n">
        <f aca="false">ORÇAMENTO!X57</f>
        <v>0</v>
      </c>
      <c r="J57" s="636" t="n">
        <f aca="true" t="array" ref="J57:J57">IF($A57="S",IF(CAIXA.Modo,BM.AFAnterior,BM.MEDAnterior),IF(AND(RegimeExecucao="Global",$I57&gt;0,COUNTIF($AB$13:$AM$13,BM.medicao-1)&gt;0),M57/$I57*100,0))</f>
        <v>0</v>
      </c>
      <c r="K57" s="212" t="n">
        <f aca="false">L57-J57</f>
        <v>0</v>
      </c>
      <c r="L57" s="637" t="n">
        <f aca="true" t="array" ref="L57:L57">IF($A57="S",IF(CAIXA.Modo,BM.AFAcumulado,BM.MEDAcumulado),IF(AND(RegimeExecucao="Global",$I57&gt;0,COUNTIF($AB$13:$AM$13,BM.medicao)&gt;0),O57/$I57*100,0))</f>
        <v>0</v>
      </c>
      <c r="M57" s="638" t="n">
        <f aca="true" t="array" ref="M57:M57">IF($A57="S",VTOTALBM,IF($A57=0,0,ROUND(SomaAgrupBM,15-13*ORÇAMENTO!$AF$11)))</f>
        <v>0</v>
      </c>
      <c r="N57" s="224" t="n">
        <f aca="false">O57-M57</f>
        <v>0</v>
      </c>
      <c r="O57" s="215" t="n">
        <f aca="true" t="array" ref="O57:O57">IF($A57="S",VTOTALBM,IF($A57=0,0,ROUND(SomaAgrupBM,15-13*ORÇAMENTO!$AF$11)))</f>
        <v>0</v>
      </c>
      <c r="Q57" s="639"/>
      <c r="R57" s="640"/>
      <c r="T57" s="207" t="str">
        <f aca="false">IF($W57&gt;0,$D57,"")</f>
        <v/>
      </c>
      <c r="U57" s="343" t="str">
        <f aca="false">IF($W57&gt;0,$E57,"")</f>
        <v/>
      </c>
      <c r="V57" s="344" t="str">
        <f aca="true" t="array" ref="V57:V57">IF(AND($W57&gt;0,RegimeExecucao="Unitário"),$F57,"")</f>
        <v/>
      </c>
      <c r="W57" s="641" t="n">
        <f aca="true" t="array" ref="W57:W57">IF($Y57&gt;0,CHOOSE(MATCH(RegimeExecucao,{"Unitário","Global"},0),IF($A57="S",$Y57/$X57,""),($Y57/$X57)*100),0)</f>
        <v>0</v>
      </c>
      <c r="X57" s="642" t="str">
        <f aca="true" t="array" ref="X57:X57">IF($Y57&gt;0,CHOOSE(MATCH(RegimeExecucao,{"Unitário","Global"},0),IF($A57="S",ROUND($H57,ORÇAMENTO!$AF$10),""),ROUND($I57,ORÇAMENTO!$AF$11)),"")</f>
        <v/>
      </c>
      <c r="Y57" s="642" t="n">
        <f aca="false">AO57-O57</f>
        <v>0</v>
      </c>
      <c r="Z57" s="643"/>
      <c r="AB57" s="639"/>
      <c r="AC57" s="644"/>
      <c r="AD57" s="644"/>
      <c r="AE57" s="644"/>
      <c r="AF57" s="644"/>
      <c r="AG57" s="644"/>
      <c r="AH57" s="644"/>
      <c r="AI57" s="644"/>
      <c r="AJ57" s="644"/>
      <c r="AK57" s="644"/>
      <c r="AL57" s="644"/>
      <c r="AM57" s="640"/>
      <c r="AO57" s="0" t="n">
        <f aca="true" t="array" ref="AO57:AO57">IF($A57="S",IF(BM!$I57=0,0,CHOOSE(MATCH(RegimeExecucao,{"Global","Unitário"},0),ROUND(ROUND(BM.MEDAcumulado,15-13*BM!$A$9)/100*BM!$I57,15-13*ORÇAMENTO!$AF$11),ROUND(ROUND(BM.MEDAcumulado,15-13*BM!$A$9)*ROUND(BM!$H57,15-13*ORÇAMENTO!$AF$10),15-13*ORÇAMENTO!$AF$11))),IF($A57=0,0,ROUND(SomaAgrupBM,15-13*ORÇAMENTO!$AF$11)))</f>
        <v>0</v>
      </c>
    </row>
    <row r="58" customFormat="false" ht="12.75" hidden="false" customHeight="false" outlineLevel="0" collapsed="false">
      <c r="A58" s="0" t="str">
        <f aca="false">ORÇAMENTO!C58</f>
        <v>S</v>
      </c>
      <c r="B58" s="0" t="n">
        <f aca="false">ORÇAMENTO!D58</f>
        <v>0</v>
      </c>
      <c r="C58" s="204" t="str">
        <f aca="false">IF(OR($I58&gt;0,$A58=1,$A58=2,$A58=3,$A58=4),"F","")</f>
        <v/>
      </c>
      <c r="D58" s="207" t="str">
        <f aca="false">ORÇAMENTO!O58</f>
        <v>-</v>
      </c>
      <c r="E58" s="343" t="str">
        <f aca="false">ORÇAMENTO.Descricao</f>
        <v>(Código não identificado nas referências)</v>
      </c>
      <c r="F58" s="344" t="str">
        <f aca="true" t="array" ref="F58:F58">IF(RegimeExecucao="Global","",ORÇAMENTO.Unidade)</f>
        <v>-</v>
      </c>
      <c r="G58" s="212" t="n">
        <f aca="true" t="array" ref="G58:G58">IF(RegimeExecucao="Global","",ORÇAMENTO!T58)</f>
        <v>50</v>
      </c>
      <c r="H58" s="212" t="n">
        <f aca="true" t="array" ref="H58:H58">IF(RegimeExecucao="Global","",ORÇAMENTO!W58)</f>
        <v>0</v>
      </c>
      <c r="I58" s="215" t="n">
        <f aca="false">ORÇAMENTO!X58</f>
        <v>0</v>
      </c>
      <c r="J58" s="636" t="n">
        <f aca="true" t="array" ref="J58:J58">IF($A58="S",IF(CAIXA.Modo,BM.AFAnterior,BM.MEDAnterior),IF(AND(RegimeExecucao="Global",$I58&gt;0,COUNTIF($AB$13:$AM$13,BM.medicao-1)&gt;0),M58/$I58*100,0))</f>
        <v>0</v>
      </c>
      <c r="K58" s="212" t="n">
        <f aca="false">L58-J58</f>
        <v>0</v>
      </c>
      <c r="L58" s="637" t="n">
        <f aca="true" t="array" ref="L58:L58">IF($A58="S",IF(CAIXA.Modo,BM.AFAcumulado,BM.MEDAcumulado),IF(AND(RegimeExecucao="Global",$I58&gt;0,COUNTIF($AB$13:$AM$13,BM.medicao)&gt;0),O58/$I58*100,0))</f>
        <v>0</v>
      </c>
      <c r="M58" s="638" t="n">
        <f aca="true" t="array" ref="M58:M58">IF($A58="S",VTOTALBM,IF($A58=0,0,ROUND(SomaAgrupBM,15-13*ORÇAMENTO!$AF$11)))</f>
        <v>0</v>
      </c>
      <c r="N58" s="224" t="n">
        <f aca="false">O58-M58</f>
        <v>0</v>
      </c>
      <c r="O58" s="215" t="n">
        <f aca="true" t="array" ref="O58:O58">IF($A58="S",VTOTALBM,IF($A58=0,0,ROUND(SomaAgrupBM,15-13*ORÇAMENTO!$AF$11)))</f>
        <v>0</v>
      </c>
      <c r="Q58" s="639"/>
      <c r="R58" s="640"/>
      <c r="T58" s="207" t="str">
        <f aca="false">IF($W58&gt;0,$D58,"")</f>
        <v/>
      </c>
      <c r="U58" s="343" t="str">
        <f aca="false">IF($W58&gt;0,$E58,"")</f>
        <v/>
      </c>
      <c r="V58" s="344" t="str">
        <f aca="true" t="array" ref="V58:V58">IF(AND($W58&gt;0,RegimeExecucao="Unitário"),$F58,"")</f>
        <v/>
      </c>
      <c r="W58" s="641" t="n">
        <f aca="true" t="array" ref="W58:W58">IF($Y58&gt;0,CHOOSE(MATCH(RegimeExecucao,{"Unitário","Global"},0),IF($A58="S",$Y58/$X58,""),($Y58/$X58)*100),0)</f>
        <v>0</v>
      </c>
      <c r="X58" s="642" t="str">
        <f aca="true" t="array" ref="X58:X58">IF($Y58&gt;0,CHOOSE(MATCH(RegimeExecucao,{"Unitário","Global"},0),IF($A58="S",ROUND($H58,ORÇAMENTO!$AF$10),""),ROUND($I58,ORÇAMENTO!$AF$11)),"")</f>
        <v/>
      </c>
      <c r="Y58" s="642" t="n">
        <f aca="false">AO58-O58</f>
        <v>0</v>
      </c>
      <c r="Z58" s="643"/>
      <c r="AB58" s="639"/>
      <c r="AC58" s="644"/>
      <c r="AD58" s="644"/>
      <c r="AE58" s="644"/>
      <c r="AF58" s="644"/>
      <c r="AG58" s="644"/>
      <c r="AH58" s="644"/>
      <c r="AI58" s="644"/>
      <c r="AJ58" s="644"/>
      <c r="AK58" s="644"/>
      <c r="AL58" s="644"/>
      <c r="AM58" s="640"/>
      <c r="AO58" s="0" t="n">
        <f aca="true" t="array" ref="AO58:AO58">IF($A58="S",IF(BM!$I58=0,0,CHOOSE(MATCH(RegimeExecucao,{"Global","Unitário"},0),ROUND(ROUND(BM.MEDAcumulado,15-13*BM!$A$9)/100*BM!$I58,15-13*ORÇAMENTO!$AF$11),ROUND(ROUND(BM.MEDAcumulado,15-13*BM!$A$9)*ROUND(BM!$H58,15-13*ORÇAMENTO!$AF$10),15-13*ORÇAMENTO!$AF$11))),IF($A58=0,0,ROUND(SomaAgrupBM,15-13*ORÇAMENTO!$AF$11)))</f>
        <v>0</v>
      </c>
    </row>
    <row r="59" customFormat="false" ht="4.5" hidden="false" customHeight="true" outlineLevel="0" collapsed="false">
      <c r="C59" s="204" t="s">
        <v>596</v>
      </c>
      <c r="D59" s="245"/>
      <c r="E59" s="248"/>
      <c r="F59" s="248"/>
      <c r="G59" s="248"/>
      <c r="H59" s="248"/>
      <c r="I59" s="246"/>
      <c r="J59" s="245"/>
      <c r="K59" s="248"/>
      <c r="L59" s="246"/>
      <c r="M59" s="656"/>
      <c r="N59" s="657"/>
      <c r="O59" s="658"/>
      <c r="Q59" s="245"/>
      <c r="R59" s="246"/>
      <c r="T59" s="245"/>
      <c r="U59" s="248"/>
      <c r="V59" s="248"/>
      <c r="W59" s="248"/>
      <c r="X59" s="248"/>
      <c r="Y59" s="248"/>
      <c r="Z59" s="246"/>
      <c r="AB59" s="245"/>
      <c r="AC59" s="248"/>
      <c r="AD59" s="248"/>
      <c r="AE59" s="248"/>
      <c r="AF59" s="248"/>
      <c r="AG59" s="248"/>
      <c r="AH59" s="248"/>
      <c r="AI59" s="248"/>
      <c r="AJ59" s="248"/>
      <c r="AK59" s="248"/>
      <c r="AL59" s="248"/>
      <c r="AM59" s="246"/>
    </row>
    <row r="61" customFormat="false" ht="13.8" hidden="false" customHeight="false" outlineLevel="0" collapsed="false">
      <c r="D61" s="659" t="s">
        <v>751</v>
      </c>
      <c r="E61" s="659"/>
      <c r="F61" s="659"/>
      <c r="G61" s="659"/>
      <c r="H61" s="659"/>
      <c r="I61" s="659"/>
      <c r="J61" s="659"/>
      <c r="K61" s="659"/>
      <c r="L61" s="659"/>
      <c r="M61" s="659"/>
      <c r="N61" s="659"/>
      <c r="O61" s="659"/>
      <c r="T61" s="660" t="s">
        <v>1013</v>
      </c>
      <c r="U61" s="660"/>
      <c r="V61" s="660"/>
      <c r="W61" s="660"/>
      <c r="X61" s="660"/>
      <c r="Y61" s="660"/>
      <c r="Z61" s="660"/>
    </row>
    <row r="62" customFormat="false" ht="12.75" hidden="false" customHeight="true" outlineLevel="0" collapsed="false">
      <c r="D62" s="252"/>
      <c r="E62" s="252"/>
      <c r="F62" s="252"/>
      <c r="G62" s="252"/>
      <c r="H62" s="252"/>
      <c r="I62" s="252"/>
      <c r="J62" s="252"/>
      <c r="K62" s="252"/>
      <c r="L62" s="252"/>
      <c r="M62" s="252"/>
      <c r="N62" s="252"/>
      <c r="O62" s="252"/>
      <c r="T62" s="661"/>
      <c r="U62" s="661"/>
      <c r="V62" s="661"/>
      <c r="W62" s="661"/>
      <c r="X62" s="661"/>
      <c r="Y62" s="661"/>
      <c r="Z62" s="661"/>
    </row>
    <row r="63" customFormat="false" ht="12.75" hidden="false" customHeight="true" outlineLevel="0" collapsed="false">
      <c r="D63" s="252"/>
      <c r="E63" s="252"/>
      <c r="F63" s="252"/>
      <c r="G63" s="252"/>
      <c r="H63" s="252"/>
      <c r="I63" s="252"/>
      <c r="J63" s="252"/>
      <c r="K63" s="252"/>
      <c r="L63" s="252"/>
      <c r="M63" s="252"/>
      <c r="N63" s="252"/>
      <c r="O63" s="252"/>
      <c r="T63" s="661"/>
      <c r="U63" s="661"/>
      <c r="V63" s="661"/>
      <c r="W63" s="661"/>
      <c r="X63" s="661"/>
      <c r="Y63" s="661"/>
      <c r="Z63" s="661"/>
    </row>
    <row r="64" customFormat="false" ht="12.75" hidden="false" customHeight="true" outlineLevel="0" collapsed="false">
      <c r="D64" s="252"/>
      <c r="E64" s="252"/>
      <c r="F64" s="252"/>
      <c r="G64" s="252"/>
      <c r="H64" s="252"/>
      <c r="I64" s="252"/>
      <c r="J64" s="252"/>
      <c r="K64" s="252"/>
      <c r="L64" s="252"/>
      <c r="M64" s="252"/>
      <c r="N64" s="252"/>
      <c r="O64" s="252"/>
      <c r="T64" s="661"/>
      <c r="U64" s="661"/>
      <c r="V64" s="661"/>
      <c r="W64" s="661"/>
      <c r="X64" s="661"/>
      <c r="Y64" s="661"/>
      <c r="Z64" s="661"/>
    </row>
    <row r="65" customFormat="false" ht="13.8" hidden="false" customHeight="false" outlineLevel="0" collapsed="false">
      <c r="D65" s="253"/>
      <c r="E65" s="253"/>
      <c r="F65" s="253"/>
      <c r="G65" s="253"/>
      <c r="H65" s="253"/>
      <c r="I65" s="253"/>
      <c r="J65" s="253"/>
      <c r="K65" s="253"/>
      <c r="L65" s="253"/>
      <c r="M65" s="253"/>
      <c r="N65" s="253"/>
      <c r="O65" s="253"/>
    </row>
    <row r="66" customFormat="false" ht="15" hidden="false" customHeight="true" outlineLevel="0" collapsed="false">
      <c r="D66" s="255" t="str">
        <f aca="true" t="array" ref="D66:D66">IF(OR(AND(ORÇAMENTO!$AF$7=FALSE(),ORÇAMENTO!$AF$10=FALSE(),RegimeExecucao="Global"),AND(ORÇAMENTO!$AF$7=FALSE(),ORÇAMENTO!$AF$10=FALSE(),ORÇAMENTO!$AF$11=FALSE(),BM!$A$9=FALSE())),"Não foi considerado arredondamento nos valores da planilha.",CONCATENATE("Foi considerado arredondamento de duas casas decimais para ",IF(AND(RegimeExecucao="Unitário",ORÇAMENTO!$AF$7=TRUE()),"Quantidade; ",""),IF(AND(RegimeExecucao="Unitário",ORÇAMENTO!$AF$10=TRUE()),"Preço unitário; ",""),IF(ORÇAMENTO!$AF$11=TRUE(),"Preço total; ",""),,IF(BM!$A$9=TRUE(),"Medição.","")))</f>
        <v>Foi considerado arredondamento de duas casas decimais para Quantidade; Preço unitário; Preço total; Medição.</v>
      </c>
      <c r="E66" s="255"/>
      <c r="F66" s="255"/>
      <c r="G66" s="255"/>
      <c r="H66" s="255"/>
      <c r="I66" s="255"/>
      <c r="J66" s="255"/>
      <c r="K66" s="255"/>
      <c r="L66" s="255"/>
    </row>
    <row r="67" customFormat="false" ht="12.75" hidden="false" customHeight="false" outlineLevel="0" collapsed="false">
      <c r="D67" s="662"/>
      <c r="E67" s="662"/>
      <c r="F67" s="662"/>
      <c r="G67" s="662"/>
      <c r="H67" s="662"/>
      <c r="I67" s="662"/>
    </row>
    <row r="68" customFormat="false" ht="12.75" hidden="false" customHeight="false" outlineLevel="0" collapsed="false">
      <c r="D68" s="663" t="str">
        <f aca="false">IF(CAIXA.Modo,"","Os serviços medidos informados neste BM encontram-se concluídos, estão em conformidade com os projetos e especificações aceitos pela CAIXA e foram executados de acordo com as normas técnicas.")</f>
        <v>Os serviços medidos informados neste BM encontram-se concluídos, estão em conformidade com os projetos e especificações aceitos pela CAIXA e foram executados de acordo com as normas técnicas.</v>
      </c>
      <c r="E68" s="663"/>
      <c r="F68" s="663"/>
      <c r="G68" s="663"/>
      <c r="H68" s="663"/>
      <c r="I68" s="663"/>
      <c r="J68" s="663"/>
      <c r="K68" s="663"/>
      <c r="L68" s="663"/>
      <c r="M68" s="663"/>
      <c r="N68" s="663"/>
      <c r="O68" s="663"/>
    </row>
    <row r="69" customFormat="false" ht="39.75" hidden="false" customHeight="true" outlineLevel="0" collapsed="false">
      <c r="E69" s="258" t="str">
        <f aca="false">Import.Município</f>
        <v>TRAMANDAI/RS</v>
      </c>
      <c r="J69" s="664" t="str">
        <f aca="false">IF(DADOS!$D$50&lt;&gt;"","Preencher os Dados do Responsável pela Fiscalização, na aba DADOS.","")</f>
        <v/>
      </c>
      <c r="K69" s="664"/>
      <c r="L69" s="664"/>
      <c r="M69" s="664"/>
      <c r="W69" s="665"/>
      <c r="X69" s="665"/>
      <c r="Y69" s="665"/>
      <c r="Z69" s="665"/>
    </row>
    <row r="70" customFormat="false" ht="12.75" hidden="false" customHeight="false" outlineLevel="0" collapsed="false">
      <c r="E70" s="52" t="s">
        <v>755</v>
      </c>
      <c r="J70" s="260" t="s">
        <v>989</v>
      </c>
      <c r="W70" s="260" t="s">
        <v>1014</v>
      </c>
    </row>
    <row r="71" customFormat="false" ht="12.75" hidden="false" customHeight="false" outlineLevel="0" collapsed="false">
      <c r="J71" s="148" t="s">
        <v>297</v>
      </c>
      <c r="K71" s="612" t="n">
        <f aca="false" t="array" ref="K71:K74">Import.RespFiscalização</f>
        <v>0</v>
      </c>
      <c r="L71" s="149"/>
      <c r="W71" s="148" t="s">
        <v>297</v>
      </c>
      <c r="X71" s="666"/>
      <c r="Y71" s="666"/>
      <c r="Z71" s="666"/>
    </row>
    <row r="72" customFormat="false" ht="12.75" hidden="false" customHeight="false" outlineLevel="0" collapsed="false">
      <c r="E72" s="306" t="n">
        <f aca="false">DADOS!$C$48</f>
        <v>0</v>
      </c>
      <c r="J72" s="148" t="s">
        <v>379</v>
      </c>
      <c r="K72" s="612" t="n">
        <v>0</v>
      </c>
      <c r="L72" s="149"/>
      <c r="W72" s="148" t="s">
        <v>1015</v>
      </c>
      <c r="X72" s="666"/>
      <c r="Y72" s="666"/>
      <c r="Z72" s="666"/>
    </row>
    <row r="73" customFormat="false" ht="12.75" hidden="false" customHeight="false" outlineLevel="0" collapsed="false">
      <c r="E73" s="262" t="s">
        <v>756</v>
      </c>
      <c r="J73" s="148" t="s">
        <v>301</v>
      </c>
      <c r="K73" s="612" t="n">
        <v>0</v>
      </c>
      <c r="L73" s="149"/>
      <c r="W73" s="148" t="s">
        <v>301</v>
      </c>
      <c r="X73" s="666"/>
      <c r="Y73" s="666"/>
      <c r="Z73" s="666"/>
    </row>
    <row r="74" customFormat="false" ht="12.75" hidden="false" customHeight="false" outlineLevel="0" collapsed="false">
      <c r="J74" s="148" t="s">
        <v>305</v>
      </c>
      <c r="K74" s="63" t="n">
        <v>0</v>
      </c>
      <c r="W74" s="148"/>
      <c r="X74" s="63"/>
    </row>
  </sheetData>
  <sheetProtection algorithmName="SHA-512" hashValue="ia50GKqQSo1sP7ASqG2Kdamq99+0/Nm1aDUlCC+xQlyCDxQKdfQmFuoby/IjIEf1tUUfKJKjSLfVAc6L4OoRYA==" saltValue="W3P+EQRgFBwkGUx+QEz+uQ==" spinCount="100000" sheet="true" objects="true" scenarios="true" autoFilter="false"/>
  <autoFilter ref="C15:C59"/>
  <mergeCells count="33">
    <mergeCell ref="A3:B3"/>
    <mergeCell ref="D4:E4"/>
    <mergeCell ref="F4:H4"/>
    <mergeCell ref="J4:N4"/>
    <mergeCell ref="D5:E5"/>
    <mergeCell ref="F5:H5"/>
    <mergeCell ref="J5:N5"/>
    <mergeCell ref="F7:H7"/>
    <mergeCell ref="I7:L7"/>
    <mergeCell ref="M7:N7"/>
    <mergeCell ref="C8:C12"/>
    <mergeCell ref="F8:H8"/>
    <mergeCell ref="I8:L8"/>
    <mergeCell ref="M8:N8"/>
    <mergeCell ref="F10:I11"/>
    <mergeCell ref="T11:U11"/>
    <mergeCell ref="AB11:AM11"/>
    <mergeCell ref="J12:L12"/>
    <mergeCell ref="M12:O12"/>
    <mergeCell ref="Q12:R12"/>
    <mergeCell ref="D15:E15"/>
    <mergeCell ref="AB15:AM15"/>
    <mergeCell ref="D61:O61"/>
    <mergeCell ref="T61:Z61"/>
    <mergeCell ref="D62:O64"/>
    <mergeCell ref="T62:Z64"/>
    <mergeCell ref="D66:L66"/>
    <mergeCell ref="D67:I67"/>
    <mergeCell ref="D68:O68"/>
    <mergeCell ref="W69:Z69"/>
    <mergeCell ref="X71:Z71"/>
    <mergeCell ref="X72:Z72"/>
    <mergeCell ref="X73:Z73"/>
  </mergeCells>
  <conditionalFormatting sqref="D50:O50 T50:Z50">
    <cfRule type="expression" priority="2" aboveAverage="0" equalAverage="0" bottom="0" percent="0" rank="0" text="" dxfId="444">
      <formula>OR(ACOMPANHAMENTO="PLE",TIPOORCAMENTO="Proposto",$L50&lt;0,AND($L50&gt;100,RegimeExecucao="Global"),$O50&gt;$I50,$O50&lt;0)</formula>
    </cfRule>
    <cfRule type="expression" priority="3" aboveAverage="0" equalAverage="0" bottom="0" percent="0" rank="0" text="" dxfId="445">
      <formula>$A50=1</formula>
    </cfRule>
    <cfRule type="expression" priority="4" aboveAverage="0" equalAverage="0" bottom="0" percent="0" rank="0" text="" dxfId="446">
      <formula>$A50&lt;&gt;"S"</formula>
    </cfRule>
  </conditionalFormatting>
  <conditionalFormatting sqref="Q50:R50 AB50:AM50">
    <cfRule type="expression" priority="5" aboveAverage="0" equalAverage="0" bottom="0" percent="0" rank="0" text="" dxfId="447">
      <formula>$A50=1</formula>
    </cfRule>
    <cfRule type="expression" priority="6" aboveAverage="0" equalAverage="0" bottom="0" percent="0" rank="0" text="" dxfId="448">
      <formula>$A50&lt;&gt;"S"</formula>
    </cfRule>
  </conditionalFormatting>
  <conditionalFormatting sqref="D49:O49 T49:Z49 T51:Z51 D51:O51">
    <cfRule type="expression" priority="7" aboveAverage="0" equalAverage="0" bottom="0" percent="0" rank="0" text="" dxfId="449">
      <formula>OR(ACOMPANHAMENTO="PLE",TIPOORCAMENTO="Proposto",$L49&lt;0,AND($L49&gt;100,RegimeExecucao="Global"),$O49&gt;$I49,$O49&lt;0)</formula>
    </cfRule>
    <cfRule type="expression" priority="8" aboveAverage="0" equalAverage="0" bottom="0" percent="0" rank="0" text="" dxfId="450">
      <formula>$A49=1</formula>
    </cfRule>
    <cfRule type="expression" priority="9" aboveAverage="0" equalAverage="0" bottom="0" percent="0" rank="0" text="" dxfId="451">
      <formula>$A49&lt;&gt;"S"</formula>
    </cfRule>
  </conditionalFormatting>
  <conditionalFormatting sqref="Q49:R49 AB49:AM49 AB51:AM51 Q51:R51">
    <cfRule type="expression" priority="10" aboveAverage="0" equalAverage="0" bottom="0" percent="0" rank="0" text="" dxfId="452">
      <formula>$A49=1</formula>
    </cfRule>
    <cfRule type="expression" priority="11" aboveAverage="0" equalAverage="0" bottom="0" percent="0" rank="0" text="" dxfId="453">
      <formula>$A49&lt;&gt;"S"</formula>
    </cfRule>
  </conditionalFormatting>
  <conditionalFormatting sqref="D43:O48 T43:Z48 T52:Z54 D52:O54">
    <cfRule type="expression" priority="12" aboveAverage="0" equalAverage="0" bottom="0" percent="0" rank="0" text="" dxfId="454">
      <formula>OR(ACOMPANHAMENTO="PLE",TIPOORCAMENTO="Proposto",$L43&lt;0,AND($L43&gt;100,RegimeExecucao="Global"),$O43&gt;$I43,$O43&lt;0)</formula>
    </cfRule>
    <cfRule type="expression" priority="13" aboveAverage="0" equalAverage="0" bottom="0" percent="0" rank="0" text="" dxfId="455">
      <formula>$A43=1</formula>
    </cfRule>
    <cfRule type="expression" priority="14" aboveAverage="0" equalAverage="0" bottom="0" percent="0" rank="0" text="" dxfId="456">
      <formula>$A43&lt;&gt;"S"</formula>
    </cfRule>
  </conditionalFormatting>
  <conditionalFormatting sqref="Q43:R48 AB43:AM48 AB52:AM54 Q52:R54">
    <cfRule type="expression" priority="15" aboveAverage="0" equalAverage="0" bottom="0" percent="0" rank="0" text="" dxfId="457">
      <formula>$A43=1</formula>
    </cfRule>
    <cfRule type="expression" priority="16" aboveAverage="0" equalAverage="0" bottom="0" percent="0" rank="0" text="" dxfId="458">
      <formula>$A43&lt;&gt;"S"</formula>
    </cfRule>
  </conditionalFormatting>
  <conditionalFormatting sqref="D42:O42 T42:Z42">
    <cfRule type="expression" priority="17" aboveAverage="0" equalAverage="0" bottom="0" percent="0" rank="0" text="" dxfId="459">
      <formula>OR(ACOMPANHAMENTO="PLE",TIPOORCAMENTO="Proposto",$L42&lt;0,AND($L42&gt;100,RegimeExecucao="Global"),$O42&gt;$I42,$O42&lt;0)</formula>
    </cfRule>
    <cfRule type="expression" priority="18" aboveAverage="0" equalAverage="0" bottom="0" percent="0" rank="0" text="" dxfId="460">
      <formula>$A42=1</formula>
    </cfRule>
    <cfRule type="expression" priority="19" aboveAverage="0" equalAverage="0" bottom="0" percent="0" rank="0" text="" dxfId="461">
      <formula>$A42&lt;&gt;"S"</formula>
    </cfRule>
  </conditionalFormatting>
  <conditionalFormatting sqref="Q42:R42 AB42:AM42">
    <cfRule type="expression" priority="20" aboveAverage="0" equalAverage="0" bottom="0" percent="0" rank="0" text="" dxfId="462">
      <formula>$A42=1</formula>
    </cfRule>
    <cfRule type="expression" priority="21" aboveAverage="0" equalAverage="0" bottom="0" percent="0" rank="0" text="" dxfId="463">
      <formula>$A42&lt;&gt;"S"</formula>
    </cfRule>
  </conditionalFormatting>
  <conditionalFormatting sqref="D41:O41 T41:Z41">
    <cfRule type="expression" priority="22" aboveAverage="0" equalAverage="0" bottom="0" percent="0" rank="0" text="" dxfId="464">
      <formula>OR(ACOMPANHAMENTO="PLE",TIPOORCAMENTO="Proposto",$L41&lt;0,AND($L41&gt;100,RegimeExecucao="Global"),$O41&gt;$I41,$O41&lt;0)</formula>
    </cfRule>
    <cfRule type="expression" priority="23" aboveAverage="0" equalAverage="0" bottom="0" percent="0" rank="0" text="" dxfId="465">
      <formula>$A41=1</formula>
    </cfRule>
    <cfRule type="expression" priority="24" aboveAverage="0" equalAverage="0" bottom="0" percent="0" rank="0" text="" dxfId="466">
      <formula>$A41&lt;&gt;"S"</formula>
    </cfRule>
  </conditionalFormatting>
  <conditionalFormatting sqref="Q41:R41 AB41:AM41">
    <cfRule type="expression" priority="25" aboveAverage="0" equalAverage="0" bottom="0" percent="0" rank="0" text="" dxfId="467">
      <formula>$A41=1</formula>
    </cfRule>
    <cfRule type="expression" priority="26" aboveAverage="0" equalAverage="0" bottom="0" percent="0" rank="0" text="" dxfId="468">
      <formula>$A41&lt;&gt;"S"</formula>
    </cfRule>
  </conditionalFormatting>
  <conditionalFormatting sqref="D55:O55 T55:Z55">
    <cfRule type="expression" priority="27" aboveAverage="0" equalAverage="0" bottom="0" percent="0" rank="0" text="" dxfId="469">
      <formula>OR(ACOMPANHAMENTO="PLE",TIPOORCAMENTO="Proposto",$L55&lt;0,AND($L55&gt;100,RegimeExecucao="Global"),$O55&gt;$I55,$O55&lt;0)</formula>
    </cfRule>
    <cfRule type="expression" priority="28" aboveAverage="0" equalAverage="0" bottom="0" percent="0" rank="0" text="" dxfId="470">
      <formula>$A55=1</formula>
    </cfRule>
    <cfRule type="expression" priority="29" aboveAverage="0" equalAverage="0" bottom="0" percent="0" rank="0" text="" dxfId="471">
      <formula>$A55&lt;&gt;"S"</formula>
    </cfRule>
  </conditionalFormatting>
  <conditionalFormatting sqref="Q55:R55 AB55:AM55">
    <cfRule type="expression" priority="30" aboveAverage="0" equalAverage="0" bottom="0" percent="0" rank="0" text="" dxfId="472">
      <formula>$A55=1</formula>
    </cfRule>
    <cfRule type="expression" priority="31" aboveAverage="0" equalAverage="0" bottom="0" percent="0" rank="0" text="" dxfId="473">
      <formula>$A55&lt;&gt;"S"</formula>
    </cfRule>
  </conditionalFormatting>
  <conditionalFormatting sqref="D40:O40 T40:Z40">
    <cfRule type="expression" priority="32" aboveAverage="0" equalAverage="0" bottom="0" percent="0" rank="0" text="" dxfId="474">
      <formula>OR(ACOMPANHAMENTO="PLE",TIPOORCAMENTO="Proposto",$L40&lt;0,AND($L40&gt;100,RegimeExecucao="Global"),$O40&gt;$I40,$O40&lt;0)</formula>
    </cfRule>
    <cfRule type="expression" priority="33" aboveAverage="0" equalAverage="0" bottom="0" percent="0" rank="0" text="" dxfId="475">
      <formula>$A40=1</formula>
    </cfRule>
    <cfRule type="expression" priority="34" aboveAverage="0" equalAverage="0" bottom="0" percent="0" rank="0" text="" dxfId="476">
      <formula>$A40&lt;&gt;"S"</formula>
    </cfRule>
  </conditionalFormatting>
  <conditionalFormatting sqref="Q40:R40 AB40:AM40">
    <cfRule type="expression" priority="35" aboveAverage="0" equalAverage="0" bottom="0" percent="0" rank="0" text="" dxfId="477">
      <formula>$A40=1</formula>
    </cfRule>
    <cfRule type="expression" priority="36" aboveAverage="0" equalAverage="0" bottom="0" percent="0" rank="0" text="" dxfId="478">
      <formula>$A40&lt;&gt;"S"</formula>
    </cfRule>
  </conditionalFormatting>
  <conditionalFormatting sqref="D32:O34 T32:Z34 T39:Z39 D39:O39 D56:O58 T56:Z58">
    <cfRule type="expression" priority="37" aboveAverage="0" equalAverage="0" bottom="0" percent="0" rank="0" text="" dxfId="479">
      <formula>OR(ACOMPANHAMENTO="PLE",TIPOORCAMENTO="Proposto",$L32&lt;0,AND($L32&gt;100,RegimeExecucao="Global"),$O32&gt;$I32,$O32&lt;0)</formula>
    </cfRule>
    <cfRule type="expression" priority="38" aboveAverage="0" equalAverage="0" bottom="0" percent="0" rank="0" text="" dxfId="480">
      <formula>$A32=1</formula>
    </cfRule>
    <cfRule type="expression" priority="39" aboveAverage="0" equalAverage="0" bottom="0" percent="0" rank="0" text="" dxfId="481">
      <formula>$A32&lt;&gt;"S"</formula>
    </cfRule>
  </conditionalFormatting>
  <conditionalFormatting sqref="Q32:R34 AB32:AM34 AB39:AM39 Q39:R39 Q56:R58 AB56:AM58">
    <cfRule type="expression" priority="40" aboveAverage="0" equalAverage="0" bottom="0" percent="0" rank="0" text="" dxfId="482">
      <formula>$A32=1</formula>
    </cfRule>
    <cfRule type="expression" priority="41" aboveAverage="0" equalAverage="0" bottom="0" percent="0" rank="0" text="" dxfId="483">
      <formula>$A32&lt;&gt;"S"</formula>
    </cfRule>
  </conditionalFormatting>
  <conditionalFormatting sqref="D21:O21 T21:Z21">
    <cfRule type="expression" priority="42" aboveAverage="0" equalAverage="0" bottom="0" percent="0" rank="0" text="" dxfId="484">
      <formula>OR(ACOMPANHAMENTO="PLE",TIPOORCAMENTO="Proposto",$L21&lt;0,AND($L21&gt;100,RegimeExecucao="Global"),$O21&gt;$I21,$O21&lt;0)</formula>
    </cfRule>
    <cfRule type="expression" priority="43" aboveAverage="0" equalAverage="0" bottom="0" percent="0" rank="0" text="" dxfId="485">
      <formula>$A21=1</formula>
    </cfRule>
    <cfRule type="expression" priority="44" aboveAverage="0" equalAverage="0" bottom="0" percent="0" rank="0" text="" dxfId="486">
      <formula>$A21&lt;&gt;"S"</formula>
    </cfRule>
  </conditionalFormatting>
  <conditionalFormatting sqref="Q21:R21 AB21:AM21">
    <cfRule type="expression" priority="45" aboveAverage="0" equalAverage="0" bottom="0" percent="0" rank="0" text="" dxfId="487">
      <formula>$A21=1</formula>
    </cfRule>
    <cfRule type="expression" priority="46" aboveAverage="0" equalAverage="0" bottom="0" percent="0" rank="0" text="" dxfId="488">
      <formula>$A21&lt;&gt;"S"</formula>
    </cfRule>
  </conditionalFormatting>
  <conditionalFormatting sqref="D24:O25 T24:Z25">
    <cfRule type="expression" priority="47" aboveAverage="0" equalAverage="0" bottom="0" percent="0" rank="0" text="" dxfId="489">
      <formula>OR(ACOMPANHAMENTO="PLE",TIPOORCAMENTO="Proposto",$L24&lt;0,AND($L24&gt;100,RegimeExecucao="Global"),$O24&gt;$I24,$O24&lt;0)</formula>
    </cfRule>
    <cfRule type="expression" priority="48" aboveAverage="0" equalAverage="0" bottom="0" percent="0" rank="0" text="" dxfId="490">
      <formula>$A24=1</formula>
    </cfRule>
    <cfRule type="expression" priority="49" aboveAverage="0" equalAverage="0" bottom="0" percent="0" rank="0" text="" dxfId="491">
      <formula>$A24&lt;&gt;"S"</formula>
    </cfRule>
  </conditionalFormatting>
  <conditionalFormatting sqref="Q24:R25 AB24:AM25">
    <cfRule type="expression" priority="50" aboveAverage="0" equalAverage="0" bottom="0" percent="0" rank="0" text="" dxfId="492">
      <formula>$A24=1</formula>
    </cfRule>
    <cfRule type="expression" priority="51" aboveAverage="0" equalAverage="0" bottom="0" percent="0" rank="0" text="" dxfId="493">
      <formula>$A24&lt;&gt;"S"</formula>
    </cfRule>
  </conditionalFormatting>
  <conditionalFormatting sqref="D16:O20 T16:Z20 T26:Z27 D26:O27 T22:Z23 D22:O23">
    <cfRule type="expression" priority="52" aboveAverage="0" equalAverage="0" bottom="0" percent="0" rank="0" text="" dxfId="494">
      <formula>OR(ACOMPANHAMENTO="PLE",TIPOORCAMENTO="Proposto",$L16&lt;0,AND($L16&gt;100,RegimeExecucao="Global"),$O16&gt;$I16,$O16&lt;0)</formula>
    </cfRule>
    <cfRule type="expression" priority="53" aboveAverage="0" equalAverage="0" bottom="0" percent="0" rank="0" text="" dxfId="495">
      <formula>$A16=1</formula>
    </cfRule>
    <cfRule type="expression" priority="54" aboveAverage="0" equalAverage="0" bottom="0" percent="0" rank="0" text="" dxfId="496">
      <formula>$A16&lt;&gt;"S"</formula>
    </cfRule>
  </conditionalFormatting>
  <conditionalFormatting sqref="Q16:R20 AB16:AM20 AB26:AM27 Q26:R27 AB22:AM23 Q22:R23">
    <cfRule type="expression" priority="55" aboveAverage="0" equalAverage="0" bottom="0" percent="0" rank="0" text="" dxfId="497">
      <formula>$A16=1</formula>
    </cfRule>
    <cfRule type="expression" priority="56" aboveAverage="0" equalAverage="0" bottom="0" percent="0" rank="0" text="" dxfId="498">
      <formula>$A16&lt;&gt;"S"</formula>
    </cfRule>
  </conditionalFormatting>
  <conditionalFormatting sqref="O11">
    <cfRule type="expression" priority="57" aboveAverage="0" equalAverage="0" bottom="0" percent="0" rank="0" text="" dxfId="499">
      <formula>ROUND($P$11,4)&gt;ROUND($P$10,4)</formula>
    </cfRule>
  </conditionalFormatting>
  <conditionalFormatting sqref="D14:O14 T14:Z14 D28:O31 T28:Z31 D35:O38 T35:Z38">
    <cfRule type="expression" priority="58" aboveAverage="0" equalAverage="0" bottom="0" percent="0" rank="0" text="" dxfId="500">
      <formula>OR(ACOMPANHAMENTO="PLE",TIPOORCAMENTO="Proposto",$L14&lt;0,AND($L14&gt;100,RegimeExecucao="Global"),$O14&gt;$I14,$O14&lt;0)</formula>
    </cfRule>
    <cfRule type="expression" priority="59" aboveAverage="0" equalAverage="0" bottom="0" percent="0" rank="0" text="" dxfId="501">
      <formula>$A14=1</formula>
    </cfRule>
    <cfRule type="expression" priority="60" aboveAverage="0" equalAverage="0" bottom="0" percent="0" rank="0" text="" dxfId="502">
      <formula>$A14&lt;&gt;"S"</formula>
    </cfRule>
  </conditionalFormatting>
  <conditionalFormatting sqref="Q14:R14 AB14:AM14 Q28:R31 AB28:AM31 Q35:R38 AB35:AM38">
    <cfRule type="expression" priority="61" aboveAverage="0" equalAverage="0" bottom="0" percent="0" rank="0" text="" dxfId="503">
      <formula>$A14=1</formula>
    </cfRule>
    <cfRule type="expression" priority="62" aboveAverage="0" equalAverage="0" bottom="0" percent="0" rank="0" text="" dxfId="504">
      <formula>$A14&lt;&gt;"S"</formula>
    </cfRule>
  </conditionalFormatting>
  <conditionalFormatting sqref="E2">
    <cfRule type="expression" priority="63" aboveAverage="0" equalAverage="0" bottom="0" percent="0" rank="0" text="" dxfId="505">
      <formula>Import.RegimeExecução="(SELECIONAR)"</formula>
    </cfRule>
  </conditionalFormatting>
  <conditionalFormatting sqref="F13:H13">
    <cfRule type="expression" priority="64" aboveAverage="0" equalAverage="0" bottom="0" percent="0" rank="0" text="" dxfId="506">
      <formula>RegimeExecucao="Global"</formula>
    </cfRule>
  </conditionalFormatting>
  <conditionalFormatting sqref="D15:O15">
    <cfRule type="expression" priority="65" aboveAverage="0" equalAverage="0" bottom="0" percent="0" rank="0" text="" dxfId="507">
      <formula>OR(ACOMPANHAMENTO="PLE",TIPOORCAMENTO="Proposto")</formula>
    </cfRule>
  </conditionalFormatting>
  <conditionalFormatting sqref="AB13">
    <cfRule type="cellIs" priority="66" operator="notEqual" aboveAverage="0" equalAverage="0" bottom="0" percent="0" rank="0" text="" dxfId="508">
      <formula>1</formula>
    </cfRule>
  </conditionalFormatting>
  <dataValidations count="4">
    <dataValidation allowBlank="true" errorStyle="stop" operator="between" showDropDown="false" showErrorMessage="true" showInputMessage="false" sqref="Z14 Z16:Z58" type="list">
      <formula1>"não executado,não previsto no orçamento,material inadequado,desacordo com os projetos,não atende as observações,qualidade insatisfatória,ver observações abaixo"</formula1>
      <formula2>0</formula2>
    </dataValidation>
    <dataValidation allowBlank="true" error="Digite somente valores entre 0 e a Medição Acumulada." errorStyle="warning" errorTitle="Atenção!" operator="between" showDropDown="false" showErrorMessage="true" showInputMessage="false" sqref="Q14:R14 Q16:R58" type="decimal">
      <formula1>0</formula1>
      <formula2>BM.MEDAcumulado</formula2>
    </dataValidation>
    <dataValidation allowBlank="true" errorStyle="stop" operator="greaterThan" showDropDown="false" showErrorMessage="true" showInputMessage="true" sqref="O8" type="whole">
      <formula1>0</formula1>
      <formula2>0</formula2>
    </dataValidation>
    <dataValidation allowBlank="true" error="% medido é superior a 100% (Global)&#10;ou&#10;Quantidade é superior a contratada  (P. Unit)&#10;ou&#10;Evolução acumulada negativa" errorStyle="warning" errorTitle="Atenção!" operator="between" showDropDown="false" showErrorMessage="true" showInputMessage="false" sqref="AB14:AM14 AB16:AM58" type="decimal">
      <formula1>BM.MinMed</formula1>
      <formula2>BM.MaxMed</formula2>
    </dataValidation>
  </dataValidations>
  <printOptions headings="false" gridLines="false" gridLinesSet="true" horizontalCentered="false" verticalCentered="false"/>
  <pageMargins left="0.7875" right="0.7875" top="0.786805555555556" bottom="0.786805555555556" header="0.590277777777778" footer="0.590277777777778"/>
  <pageSetup paperSize="9" scale="100" fitToWidth="1" fitToHeight="0" pageOrder="downThenOver" orientation="landscape" blackAndWhite="false" draft="false" cellComments="none" horizontalDpi="300" verticalDpi="300" copies="1"/>
  <headerFooter differentFirst="false" differentOddEven="false">
    <oddHeader>&amp;C&amp;14I</oddHeader>
    <oddFooter>&amp;LPMv3.16&amp;R&amp;P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01" r:id="rId4" name="">
              <controlPr defaultSize="0" locked="1" autoFill="0" autoLine="0" autoPict="0" print="false" altText="CaixaArredMed">
                <anchor moveWithCells="true" sizeWithCells="false">
                  <from>
                    <xdr:col>3</xdr:col>
                    <xdr:colOff>9088560</xdr:colOff>
                    <xdr:row>6</xdr:row>
                    <xdr:rowOff>64080</xdr:rowOff>
                  </from>
                  <to>
                    <xdr:col>4</xdr:col>
                    <xdr:colOff>190440</xdr:colOff>
                    <xdr:row>7</xdr:row>
                    <xdr:rowOff>117360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O49"/>
  <sheetViews>
    <sheetView showFormulas="false" showGridLines="false" showRowColHeaders="true" showZeros="true" rightToLeft="false" tabSelected="false" showOutlineSymbols="true" defaultGridColor="true" view="pageBreakPreview" topLeftCell="A1" colorId="64" zoomScale="90" zoomScaleNormal="100" zoomScalePageLayoutView="90" workbookViewId="0">
      <pane xSplit="6" ySplit="13" topLeftCell="G14" activePane="bottomRight" state="frozen"/>
      <selection pane="topLeft" activeCell="A1" activeCellId="0" sqref="A1"/>
      <selection pane="topRight" activeCell="G1" activeCellId="0" sqref="G1"/>
      <selection pane="bottomLeft" activeCell="A14" activeCellId="0" sqref="A14"/>
      <selection pane="bottomRight" activeCell="A1" activeCellId="0" sqref="A1"/>
    </sheetView>
  </sheetViews>
  <sheetFormatPr defaultColWidth="8.6796875" defaultRowHeight="12.75" customHeight="false" zeroHeight="false" outlineLevelRow="0" outlineLevelCol="0"/>
  <cols>
    <col collapsed="false" customWidth="true" hidden="true" outlineLevel="0" max="3" min="1" style="0" width="9.14"/>
    <col collapsed="false" customWidth="true" hidden="false" outlineLevel="0" max="4" min="4" style="0" width="3.57"/>
    <col collapsed="false" customWidth="true" hidden="false" outlineLevel="0" max="5" min="5" style="0" width="7.57"/>
    <col collapsed="false" customWidth="true" hidden="false" outlineLevel="0" max="6" min="6" style="0" width="35.57"/>
    <col collapsed="false" customWidth="true" hidden="false" outlineLevel="0" max="7" min="7" style="0" width="15.57"/>
    <col collapsed="false" customWidth="true" hidden="false" outlineLevel="0" max="8" min="8" style="0" width="12.57"/>
    <col collapsed="false" customWidth="true" hidden="false" outlineLevel="0" max="9" min="9" style="0" width="7.57"/>
    <col collapsed="false" customWidth="true" hidden="false" outlineLevel="0" max="10" min="10" style="0" width="16.57"/>
    <col collapsed="false" customWidth="true" hidden="false" outlineLevel="0" max="11" min="11" style="0" width="5.57"/>
    <col collapsed="false" customWidth="true" hidden="false" outlineLevel="0" max="15" min="12" style="0" width="16.57"/>
    <col collapsed="false" customWidth="true" hidden="false" outlineLevel="0" max="16" min="16" style="0" width="11.57"/>
    <col collapsed="false" customWidth="true" hidden="true" outlineLevel="0" max="21" min="17" style="0" width="9.14"/>
    <col collapsed="false" customWidth="true" hidden="true" outlineLevel="0" max="22" min="22" style="0" width="12.15"/>
    <col collapsed="false" customWidth="true" hidden="false" outlineLevel="0" max="24" min="23" style="0" width="5.57"/>
    <col collapsed="false" customWidth="true" hidden="false" outlineLevel="0" max="26" min="25" style="0" width="16.57"/>
    <col collapsed="false" customWidth="true" hidden="false" outlineLevel="0" max="27" min="27" style="0" width="1.57"/>
    <col collapsed="false" customWidth="true" hidden="true" outlineLevel="0" max="34" min="29" style="0" width="15.71"/>
    <col collapsed="false" customWidth="true" hidden="true" outlineLevel="0" max="35" min="35" style="0" width="9.14"/>
    <col collapsed="false" customWidth="true" hidden="true" outlineLevel="0" max="41" min="36" style="0" width="15.71"/>
  </cols>
  <sheetData>
    <row r="1" customFormat="false" ht="30" hidden="false" customHeight="true" outlineLevel="0" collapsed="false">
      <c r="F1" s="667" t="str">
        <f aca="false">CONCATENATE("RRE - RELATÓRIO RESUMO DO EMPREENDIMENTO - ",IF(CAIXA.Modo,"CAIXA","TOMADOR"))</f>
        <v>RRE - RELATÓRIO RESUMO DO EMPREENDIMENTO - TOMADOR</v>
      </c>
      <c r="H1" s="49"/>
      <c r="I1" s="49"/>
      <c r="P1" s="668" t="s">
        <v>1016</v>
      </c>
      <c r="AD1" s="669" t="s">
        <v>1017</v>
      </c>
      <c r="AE1" s="670" t="s">
        <v>1018</v>
      </c>
    </row>
    <row r="2" customFormat="false" ht="12.75" hidden="false" customHeight="false" outlineLevel="0" collapsed="false">
      <c r="AC2" s="671" t="str">
        <f aca="false">J25</f>
        <v>Repasse</v>
      </c>
      <c r="AD2" s="672" t="n">
        <f aca="false">AD6-AD4-AD3</f>
        <v>0</v>
      </c>
      <c r="AE2" s="672" t="n">
        <f aca="false">AE6-AE4-AE3</f>
        <v>0</v>
      </c>
    </row>
    <row r="3" customFormat="false" ht="12.75" hidden="false" customHeight="false" outlineLevel="0" collapsed="false">
      <c r="E3" s="172" t="s">
        <v>712</v>
      </c>
      <c r="F3" s="172"/>
      <c r="G3" s="172"/>
      <c r="H3" s="172"/>
      <c r="I3" s="101" t="s">
        <v>710</v>
      </c>
      <c r="J3" s="101"/>
      <c r="K3" s="101"/>
      <c r="L3" s="161" t="s">
        <v>774</v>
      </c>
      <c r="M3" s="315"/>
      <c r="O3" s="673"/>
      <c r="P3" s="522" t="s">
        <v>785</v>
      </c>
      <c r="R3" s="315"/>
      <c r="S3" s="315"/>
      <c r="T3" s="315"/>
      <c r="U3" s="315"/>
      <c r="AC3" s="671" t="s">
        <v>516</v>
      </c>
      <c r="AD3" s="672" t="n">
        <f aca="true">SUM(T13:OFFSET(T24,-1,0))</f>
        <v>0</v>
      </c>
      <c r="AE3" s="672" t="n">
        <f aca="false">IF(OR($O$28&lt;$M$28,$M$26&gt;$AD$3),MIN($M$26,$L$26),MIN($AD$3,$N$28-$N$27+$M$26))</f>
        <v>0</v>
      </c>
    </row>
    <row r="4" customFormat="false" ht="12.75" hidden="false" customHeight="true" outlineLevel="0" collapsed="false">
      <c r="E4" s="181" t="str">
        <f aca="false">Import.Proponente</f>
        <v>PREFEITURA MUNICIPAL DE TRAMANDAI</v>
      </c>
      <c r="F4" s="181"/>
      <c r="G4" s="181"/>
      <c r="H4" s="181"/>
      <c r="I4" s="102" t="n">
        <f aca="false">Import.CR</f>
        <v>0</v>
      </c>
      <c r="J4" s="102"/>
      <c r="K4" s="102"/>
      <c r="L4" s="102" t="n">
        <f aca="false">Import.TransfereGOV</f>
        <v>0</v>
      </c>
      <c r="M4" s="519" t="s">
        <v>952</v>
      </c>
      <c r="N4" s="519"/>
      <c r="O4" s="519"/>
      <c r="P4" s="674" t="str">
        <f aca="false">import.recurso</f>
        <v>OGU</v>
      </c>
      <c r="R4" s="315"/>
      <c r="S4" s="315"/>
      <c r="T4" s="673"/>
      <c r="U4" s="673"/>
      <c r="AC4" s="671" t="s">
        <v>1019</v>
      </c>
      <c r="AD4" s="672" t="n">
        <f aca="true">SUM(U13:OFFSET(U24,-1,0))</f>
        <v>0</v>
      </c>
      <c r="AE4" s="672" t="n">
        <f aca="false">IF(OR($O$28&lt;$M$28,$M$27&gt;$AD$4),MIN($M$27,$L$27),MIN($AD$4,$N$28+$M$27))</f>
        <v>0</v>
      </c>
    </row>
    <row r="5" customFormat="false" ht="4.5" hidden="false" customHeight="true" outlineLevel="0" collapsed="false">
      <c r="H5" s="526"/>
      <c r="I5" s="526"/>
      <c r="J5" s="526"/>
      <c r="K5" s="526"/>
      <c r="L5" s="526"/>
      <c r="M5" s="675"/>
      <c r="N5" s="35"/>
      <c r="O5" s="8"/>
      <c r="R5" s="315"/>
      <c r="S5" s="315"/>
      <c r="T5" s="315"/>
      <c r="U5" s="315"/>
    </row>
    <row r="6" customFormat="false" ht="12.75" hidden="false" customHeight="true" outlineLevel="0" collapsed="false">
      <c r="E6" s="101" t="s">
        <v>775</v>
      </c>
      <c r="F6" s="101"/>
      <c r="G6" s="101"/>
      <c r="H6" s="101"/>
      <c r="I6" s="676" t="s">
        <v>951</v>
      </c>
      <c r="J6" s="676"/>
      <c r="K6" s="676"/>
      <c r="L6" s="676"/>
      <c r="M6" s="101" t="str">
        <f aca="false">IF(import.recurso="FGTS","FINANCIAMENTO","REPASSE")</f>
        <v>REPASSE</v>
      </c>
      <c r="N6" s="172" t="s">
        <v>956</v>
      </c>
      <c r="O6" s="101" t="s">
        <v>957</v>
      </c>
      <c r="P6" s="316" t="s">
        <v>1020</v>
      </c>
      <c r="R6" s="315"/>
      <c r="S6" s="315"/>
      <c r="T6" s="315"/>
      <c r="U6" s="315"/>
      <c r="AC6" s="671" t="s">
        <v>1021</v>
      </c>
      <c r="AD6" s="672" t="n">
        <f aca="false">$O$28</f>
        <v>0</v>
      </c>
      <c r="AE6" s="672" t="n">
        <f aca="false">AD6</f>
        <v>0</v>
      </c>
    </row>
    <row r="7" customFormat="false" ht="12.75" hidden="false" customHeight="true" outlineLevel="0" collapsed="false">
      <c r="D7" s="103" t="s">
        <v>715</v>
      </c>
      <c r="E7" s="102" t="str">
        <f aca="false">Import.Apelido</f>
        <v>REVITALAIZAÇÃO DA ORLA DA BEIRA RIO</v>
      </c>
      <c r="F7" s="102"/>
      <c r="G7" s="102"/>
      <c r="H7" s="102"/>
      <c r="I7" s="677" t="str">
        <f aca="false">Import.Município</f>
        <v>TRAMANDAI/RS</v>
      </c>
      <c r="J7" s="677"/>
      <c r="K7" s="677"/>
      <c r="L7" s="677"/>
      <c r="M7" s="678" t="n">
        <f aca="false">Import.Repasse</f>
        <v>0</v>
      </c>
      <c r="N7" s="679" t="n">
        <f aca="false">Import.Contrapartida</f>
        <v>0</v>
      </c>
      <c r="O7" s="678" t="n">
        <f aca="false">M7+N7</f>
        <v>0</v>
      </c>
      <c r="P7" s="680" t="n">
        <f aca="true">IF(ACOMPANHAMENTO="PLE",PLE.Medicao,BM.medicao)</f>
        <v>1</v>
      </c>
      <c r="R7" s="315"/>
      <c r="S7" s="315"/>
      <c r="T7" s="315"/>
      <c r="U7" s="315"/>
    </row>
    <row r="8" customFormat="false" ht="12.75" hidden="false" customHeight="false" outlineLevel="0" collapsed="false">
      <c r="D8" s="103"/>
      <c r="E8" s="165"/>
      <c r="F8" s="165"/>
      <c r="G8" s="165"/>
      <c r="H8" s="165"/>
      <c r="I8" s="165"/>
      <c r="J8" s="165"/>
      <c r="K8" s="165"/>
      <c r="L8" s="165"/>
      <c r="M8" s="165"/>
      <c r="N8" s="165"/>
      <c r="O8" s="165"/>
      <c r="P8" s="165"/>
      <c r="R8" s="315"/>
      <c r="S8" s="315"/>
      <c r="T8" s="315"/>
      <c r="U8" s="315"/>
    </row>
    <row r="9" customFormat="false" ht="12.75" hidden="false" customHeight="true" outlineLevel="0" collapsed="false">
      <c r="D9" s="103"/>
      <c r="G9" s="317" t="s">
        <v>1022</v>
      </c>
      <c r="H9" s="317"/>
      <c r="I9" s="317" t="s">
        <v>1023</v>
      </c>
      <c r="J9" s="317"/>
      <c r="K9" s="681"/>
      <c r="L9" s="682" t="s">
        <v>964</v>
      </c>
      <c r="M9" s="683" t="s">
        <v>967</v>
      </c>
      <c r="N9" s="531" t="s">
        <v>813</v>
      </c>
      <c r="P9" s="684"/>
      <c r="R9" s="315"/>
      <c r="S9" s="315"/>
      <c r="T9" s="315"/>
      <c r="U9" s="315"/>
      <c r="V9" s="48" t="s">
        <v>1024</v>
      </c>
    </row>
    <row r="10" customFormat="false" ht="12.75" hidden="false" customHeight="true" outlineLevel="0" collapsed="false">
      <c r="D10" s="103"/>
      <c r="G10" s="58" t="str">
        <f aca="false">IF(J10="-","-",IF($P$24&lt;J10,"Atrasada",IF($P$24&gt;J10,"Adiantada","Normal")))</f>
        <v>Normal</v>
      </c>
      <c r="H10" s="58"/>
      <c r="I10" s="685" t="n">
        <f aca="false">DATE(YEAR($L$35),MONTH($L$35),1)</f>
        <v>1</v>
      </c>
      <c r="J10" s="686" t="n">
        <f aca="true">IF($I$10&lt;DATE(YEAR(CRONO!$U$13),MONTH(CRONO!$U$13),1),0,IF($I$10&gt;OFFSET(CRONO!$AG$13,0,-1),1,INDEX(CRONO!$T$56:$AH$56,MATCH(RRE!$I$10,CRONO!$T$13:$AG$13,0))))</f>
        <v>0</v>
      </c>
      <c r="K10" s="681"/>
      <c r="L10" s="682"/>
      <c r="M10" s="687" t="n">
        <f aca="false">QCI!L10</f>
        <v>0</v>
      </c>
      <c r="N10" s="535" t="n">
        <f aca="false">QCI!M10</f>
        <v>0</v>
      </c>
      <c r="P10" s="684"/>
      <c r="R10" s="315"/>
      <c r="S10" s="315"/>
      <c r="T10" s="315"/>
      <c r="U10" s="315"/>
      <c r="AC10" s="688" t="s">
        <v>76</v>
      </c>
      <c r="AD10" s="688"/>
      <c r="AE10" s="688"/>
      <c r="AF10" s="688"/>
      <c r="AG10" s="688"/>
      <c r="AH10" s="688"/>
      <c r="AJ10" s="688" t="s">
        <v>78</v>
      </c>
      <c r="AK10" s="688"/>
      <c r="AL10" s="688"/>
      <c r="AM10" s="688"/>
      <c r="AN10" s="688"/>
      <c r="AO10" s="688"/>
    </row>
    <row r="11" customFormat="false" ht="19.5" hidden="false" customHeight="true" outlineLevel="0" collapsed="false">
      <c r="D11" s="103"/>
      <c r="M11" s="689" t="str">
        <f aca="false">IF(CAIXA.Modo,"Valores Aferidos (R$)","Valores Medidos (R$)")</f>
        <v>Valores Medidos (R$)</v>
      </c>
      <c r="N11" s="689"/>
      <c r="O11" s="689"/>
      <c r="R11" s="690"/>
      <c r="S11" s="690"/>
      <c r="T11" s="689"/>
      <c r="U11" s="689"/>
      <c r="V11" s="691" t="s">
        <v>1025</v>
      </c>
      <c r="Y11" s="692" t="str">
        <f aca="false">IF(CAIXA.Modo,"Valores Aferidos (R$)","Valores Medidos (R$)")</f>
        <v>Valores Medidos (R$)</v>
      </c>
      <c r="Z11" s="692"/>
      <c r="AC11" s="196" t="s">
        <v>1026</v>
      </c>
      <c r="AD11" s="196"/>
      <c r="AE11" s="196"/>
      <c r="AF11" s="196" t="s">
        <v>1027</v>
      </c>
      <c r="AG11" s="196"/>
      <c r="AH11" s="196"/>
      <c r="AJ11" s="196" t="s">
        <v>1026</v>
      </c>
      <c r="AK11" s="196"/>
      <c r="AL11" s="196"/>
      <c r="AM11" s="196" t="s">
        <v>1027</v>
      </c>
      <c r="AN11" s="196"/>
      <c r="AO11" s="196"/>
    </row>
    <row r="12" customFormat="false" ht="30" hidden="true" customHeight="true" outlineLevel="0" collapsed="false">
      <c r="A12" s="0" t="e">
        <f aca="false">MATCH(E12,ORÇAMENTO!$E$15:$E$59,0)-1</f>
        <v>#N/A</v>
      </c>
      <c r="B12" s="0" t="e">
        <f aca="true">IF(ISERROR($A12),NA(),OFFSET(ORÇAMENTO!$D$15,$A12,0))</f>
        <v>#N/A</v>
      </c>
      <c r="C12" s="0" t="str">
        <f aca="false">QCI!B12</f>
        <v>Branco</v>
      </c>
      <c r="D12" s="0" t="str">
        <f aca="false">IF(L12&gt;0,"F","")</f>
        <v/>
      </c>
      <c r="E12" s="538" t="n">
        <f aca="false">QCI!D12</f>
        <v>-1</v>
      </c>
      <c r="F12" s="693" t="str">
        <f aca="false">QCI!G12</f>
        <v/>
      </c>
      <c r="G12" s="694" t="n">
        <f aca="false">QCI!H12</f>
        <v>0</v>
      </c>
      <c r="H12" s="541" t="n">
        <f aca="false">QCI!I12</f>
        <v>0</v>
      </c>
      <c r="I12" s="541" t="str">
        <f aca="false">QCI!J12</f>
        <v/>
      </c>
      <c r="J12" s="695" t="str">
        <f aca="false">QCI!K12</f>
        <v/>
      </c>
      <c r="K12" s="696" t="str">
        <f aca="true" t="array" ref="K12:K12">IF($C12="Automático",IF(ACOMPANHAMENTO="BM",BM.medicao,PLE.Medicao),IF(ISBLANK($X12),"",$X12))</f>
        <v/>
      </c>
      <c r="L12" s="546" t="n">
        <f aca="false">QCI!$O12</f>
        <v>0</v>
      </c>
      <c r="M12" s="543" t="n">
        <f aca="false">ROUND(IF(C12="Automático",AE12+AL12,Y12),2)</f>
        <v>0</v>
      </c>
      <c r="N12" s="544" t="n">
        <f aca="false">O12-M12</f>
        <v>0</v>
      </c>
      <c r="O12" s="545" t="n">
        <f aca="false">ROUND(IF(C12="Automático",AH12+AO12,Z12),2)</f>
        <v>0</v>
      </c>
      <c r="P12" s="697" t="n">
        <f aca="false">O12/(L12+10^-12)</f>
        <v>0</v>
      </c>
      <c r="R12" s="698" t="n">
        <f aca="false">ROUND(IF($C12="Automático",AC12+AJ12,$Y12*IF(ISERROR(QCI!$AA12/QCI!$O12),0,QCI!$AA12/QCI!$O12)),2)</f>
        <v>0</v>
      </c>
      <c r="S12" s="698" t="n">
        <f aca="false">ROUND(IF($C12="Automático",AD12+AK12,$Y12*IF(ISERROR(QCI!$AB12/QCI!$O12),0,QCI!$AB12/QCI!$O12)),2)</f>
        <v>0</v>
      </c>
      <c r="T12" s="698" t="n">
        <f aca="false">ROUND(IF($C12="Automático",AF12+AM12,$Z12*IF(ISERROR(QCI!$AA12/QCI!$O12),0,QCI!$AA12/QCI!$O12)),2)</f>
        <v>0</v>
      </c>
      <c r="U12" s="698" t="n">
        <f aca="false">ROUND(IF($C12="Automático",AG12+AN12,$Z12*IF(ISERROR(QCI!$AB12/QCI!$O12),0,QCI!$AB12/QCI!$O12)),2)</f>
        <v>0</v>
      </c>
      <c r="V12" s="98" t="str">
        <f aca="true">IF(AND($L12&gt;0,$J12&lt;&gt;0,$J12&lt;&gt;"",COUNTIF($J12:$J$13,$J12)=1),OFFSET(V12,-1,0)+1,OFFSET(V12,-1,0))</f>
        <v>Lista CTEFs</v>
      </c>
      <c r="X12" s="699"/>
      <c r="Y12" s="700"/>
      <c r="Z12" s="701"/>
      <c r="AC12" s="266" t="n">
        <f aca="true" t="array" ref="AC12:AC12">IF(ACOMPANHAMENTO&lt;&gt;"PLE",0,SUMPRODUCT((OFFSET(CÁLCULO!$AX$15:$BH$15,$A12,0,$B12)&lt;=(PLE.Medicao-1))*OFFSET(CÁLCULO!$AB$15:$AL$15,$A12,0,$B12)*OFFSET(ORÇAMENTO!$AA$15,$A12,0,$B12)/(OFFSET(ORÇAMENTO!$X$15,$A12,0,$B12)+10^-12))+IF(AUTOEVENTO="Manual",SUMPRODUCT((OFFSET(CÁLCULO!$M$15,$A12,0,$B12)=1)*OFFSET(ORÇAMENTO!$AA$15,$A12,0,$B12)*(PLE!$AE$9-PLE!$Y$9)),0))</f>
        <v>0</v>
      </c>
      <c r="AD12" s="266" t="n">
        <f aca="true" t="array" ref="AD12:AD12">IF(ACOMPANHAMENTO&lt;&gt;"PLE",0,SUMPRODUCT((OFFSET(CÁLCULO!$AX$15:$BH$15,$A12,0,$B12)&lt;=(PLE.Medicao-1))*OFFSET(CÁLCULO!$AB$15:$AL$15,$A12,0,$B12)*OFFSET(ORÇAMENTO!$AB$15,$A12,0,$B12)/(OFFSET(ORÇAMENTO!$X$15,$A12,0,$B12)+10^-12))+IF(AUTOEVENTO="Manual",SUMPRODUCT((OFFSET(CÁLCULO!$M$15,$A12,0,$B12)=1)*OFFSET(ORÇAMENTO!$AB$15,$A12,0,$B12)*(PLE!$AE$9-PLE!$Y$9)),0))</f>
        <v>0</v>
      </c>
      <c r="AE12" s="266" t="n">
        <f aca="true">ROUND(
            IF(ACOMPANHAMENTO&lt;&gt;"PLE",0,
                      SUMIF(OFFSET(CÁLCULO!$AX$15:$BH$15,$A12,0,$B12),"&lt;="&amp;(PLE.Medicao-1),OFFSET(CÁLCULO!$AB$15:$AL$15,$A12,0,$B12))
                      +IF(AdmLocal="Automática",
                              SUMIF(OFFSET(CÁLCULO!$M$15,$A12,0,$B12),1,OFFSET(ORÇAMENTO!$X$15,$A12,0,$B12))*(PLE!$AE$9-PLE!$Y$9),
                              0)),
            2)</f>
        <v>0</v>
      </c>
      <c r="AF12" s="266" t="n">
        <f aca="true" t="array" ref="AF12:AF12">IF(ACOMPANHAMENTO&lt;&gt;"PLE",0,SUMPRODUCT((OFFSET(CÁLCULO!$AX$15:$BH$15,$A12,0,$B12)&lt;=PLE.Medicao)*OFFSET(CÁLCULO!$AB$15:$AL$15,$A12,0,$B12)*OFFSET(ORÇAMENTO!$AA$15,$A12,0,$B12)/(OFFSET(ORÇAMENTO!$X$15,$A12,0,$B12)+10^-12))+IF(AUTOEVENTO="Manual",SUMPRODUCT((OFFSET(CÁLCULO!$M$15,$A12,0,$B12)=1)*OFFSET(ORÇAMENTO!$AA$15,$A12,0,$B12)*PLE!$AE$9),0))</f>
        <v>0</v>
      </c>
      <c r="AG12" s="266" t="n">
        <f aca="true" t="array" ref="AG12:AG12">IF(ACOMPANHAMENTO&lt;&gt;"PLE",0,SUMPRODUCT((OFFSET(CÁLCULO!$AX$15:$BH$15,$A12,0,$B12)&lt;=PLE.Medicao)*OFFSET(CÁLCULO!$AB$15:$AL$15,$A12,0,$B12)*OFFSET(ORÇAMENTO!$AB$15,$A12,0,$B12)/(OFFSET(ORÇAMENTO!$X$15,$A12,0,$B12)+10^-12))+IF(AUTOEVENTO="Manual",SUMPRODUCT((OFFSET(CÁLCULO!$M$15,$A12,0,$B12)=1)*OFFSET(ORÇAMENTO!$AB$15,$A12,0,$B12)*PLE!$AE$9),0))</f>
        <v>0</v>
      </c>
      <c r="AH12" s="266" t="n">
        <f aca="true">ROUND(IF(ACOMPANHAMENTO&lt;&gt;"PLE",0,SUMIF(OFFSET(CÁLCULO!$AX$15:$BH$15,$A12,0,$B12),"&lt;="&amp;PLE.Medicao,OFFSET(CÁLCULO!$AB$15:$AL$15,$A12,0,$B12))+IF(AdmLocal="Automática",SUMIF(OFFSET(CÁLCULO!$M$15,$A12,0,$B12),1,OFFSET(ORÇAMENTO!$X$15,$A12,0,$B12))*PLE!$AE$9,0)),2)</f>
        <v>0</v>
      </c>
      <c r="AJ12" s="266" t="e">
        <f aca="true" t="array" ref="AJ12:AJ12">IF(ACOMPANHAMENTO&lt;&gt;"BM",0,SUMPRODUCT(OFFSET(BM!$M$15,$A12,0,$B12)*(OFFSET(BM!$A$15,$A12,0,$B12)="S")*OFFSET(ORÇAMENTO!AA$15,$A12,0,$B12)/(OFFSET(ORÇAMENTO!$X$15,$A12,0,$B12)+10^-12)))</f>
        <v>#N/A</v>
      </c>
      <c r="AK12" s="266" t="e">
        <f aca="true" t="array" ref="AK12:AK12">IF(ACOMPANHAMENTO&lt;&gt;"BM",0,SUMPRODUCT(OFFSET(BM!$M$15,$A12,0,$B12)*(OFFSET(BM!$A$15,$A12,0,$B12)="S")*OFFSET(ORÇAMENTO!AB$15,$A12,0,$B12)/(OFFSET(ORÇAMENTO!$X$15,$A12,0,$B12)+10^-12)))</f>
        <v>#N/A</v>
      </c>
      <c r="AL12" s="266" t="e">
        <f aca="true">IF(ACOMPANHAMENTO&lt;&gt;"BM",0,OFFSET(BM!$M$15,$A12,0))</f>
        <v>#N/A</v>
      </c>
      <c r="AM12" s="266" t="e">
        <f aca="true" t="array" ref="AM12:AM12">IF(ACOMPANHAMENTO&lt;&gt;"BM",0,SUMPRODUCT(OFFSET(BM!$O$15,$A12,0,$B12)*(OFFSET(BM!$A$15,$A12,0,$B12)="S")*OFFSET(ORÇAMENTO!AA$15,$A12,0,$B12)/(OFFSET(ORÇAMENTO!$X$15,$A12,0,$B12)+10^-12)))</f>
        <v>#N/A</v>
      </c>
      <c r="AN12" s="266" t="e">
        <f aca="true" t="array" ref="AN12:AN12">IF(ACOMPANHAMENTO&lt;&gt;"BM",0,SUMPRODUCT(OFFSET(BM!$O$15,$A12,0,$B12)*(OFFSET(BM!$A$15,$A12,0,$B12)="S")*OFFSET(ORÇAMENTO!AB$15,$A12,0,$B12)/(OFFSET(ORÇAMENTO!$X$15,$A12,0,$B12)+10^-12)))</f>
        <v>#N/A</v>
      </c>
      <c r="AO12" s="266" t="e">
        <f aca="true">IF(ACOMPANHAMENTO&lt;&gt;"BM",0,OFFSET(BM!$O$15,$A12,0))</f>
        <v>#N/A</v>
      </c>
    </row>
    <row r="13" customFormat="false" ht="39.75" hidden="false" customHeight="true" outlineLevel="0" collapsed="false">
      <c r="A13" s="556" t="s">
        <v>1028</v>
      </c>
      <c r="B13" s="52" t="s">
        <v>797</v>
      </c>
      <c r="C13" s="556" t="s">
        <v>968</v>
      </c>
      <c r="D13" s="110" t="s">
        <v>720</v>
      </c>
      <c r="E13" s="194" t="s">
        <v>763</v>
      </c>
      <c r="F13" s="194" t="s">
        <v>971</v>
      </c>
      <c r="G13" s="194" t="s">
        <v>728</v>
      </c>
      <c r="H13" s="194" t="s">
        <v>781</v>
      </c>
      <c r="I13" s="194" t="s">
        <v>972</v>
      </c>
      <c r="J13" s="194" t="s">
        <v>973</v>
      </c>
      <c r="K13" s="557" t="s">
        <v>1029</v>
      </c>
      <c r="L13" s="194" t="s">
        <v>1030</v>
      </c>
      <c r="M13" s="557" t="s">
        <v>1026</v>
      </c>
      <c r="N13" s="558" t="s">
        <v>1031</v>
      </c>
      <c r="O13" s="559" t="s">
        <v>1027</v>
      </c>
      <c r="P13" s="194" t="s">
        <v>1032</v>
      </c>
      <c r="R13" s="702" t="s">
        <v>1033</v>
      </c>
      <c r="S13" s="702" t="s">
        <v>1034</v>
      </c>
      <c r="T13" s="702" t="s">
        <v>1035</v>
      </c>
      <c r="U13" s="702" t="s">
        <v>1036</v>
      </c>
      <c r="V13" s="162"/>
      <c r="X13" s="557" t="s">
        <v>1029</v>
      </c>
      <c r="Y13" s="200" t="s">
        <v>1026</v>
      </c>
      <c r="Z13" s="203" t="s">
        <v>1027</v>
      </c>
      <c r="AC13" s="196" t="s">
        <v>516</v>
      </c>
      <c r="AD13" s="196" t="s">
        <v>1019</v>
      </c>
      <c r="AE13" s="196" t="s">
        <v>1021</v>
      </c>
      <c r="AF13" s="196" t="s">
        <v>516</v>
      </c>
      <c r="AG13" s="196" t="s">
        <v>1019</v>
      </c>
      <c r="AH13" s="196" t="s">
        <v>1021</v>
      </c>
      <c r="AJ13" s="196" t="s">
        <v>516</v>
      </c>
      <c r="AK13" s="196" t="s">
        <v>1019</v>
      </c>
      <c r="AL13" s="196" t="s">
        <v>1021</v>
      </c>
      <c r="AM13" s="196" t="s">
        <v>516</v>
      </c>
      <c r="AN13" s="196" t="s">
        <v>1019</v>
      </c>
      <c r="AO13" s="196" t="s">
        <v>1021</v>
      </c>
    </row>
    <row r="14" customFormat="false" ht="30" hidden="false" customHeight="true" outlineLevel="0" collapsed="false">
      <c r="A14" s="0" t="n">
        <f aca="false">MATCH(E14,ORÇAMENTO!$E$15:$E$59,0)-1</f>
        <v>1</v>
      </c>
      <c r="B14" s="0" t="n">
        <f aca="true">IF(ISERROR($A14),NA(),OFFSET(ORÇAMENTO!$D$15,$A14,0))</f>
        <v>43</v>
      </c>
      <c r="C14" s="0" t="str">
        <f aca="false">QCI!B14</f>
        <v>Automático</v>
      </c>
      <c r="D14" s="0" t="str">
        <f aca="false">IF(L14&gt;0,"F","")</f>
        <v/>
      </c>
      <c r="E14" s="538" t="n">
        <f aca="false">QCI!D14</f>
        <v>1</v>
      </c>
      <c r="F14" s="693" t="str">
        <f aca="false">QCI!G14</f>
        <v>REVITALIZAÇÃO DA ORLA DA BEIRA RIO </v>
      </c>
      <c r="G14" s="694" t="n">
        <f aca="false">QCI!H14</f>
        <v>0</v>
      </c>
      <c r="H14" s="541" t="n">
        <f aca="false">QCI!I14</f>
        <v>0</v>
      </c>
      <c r="I14" s="541" t="str">
        <f aca="false">QCI!J14</f>
        <v/>
      </c>
      <c r="J14" s="695" t="str">
        <f aca="false">QCI!K14</f>
        <v>LOTE 1</v>
      </c>
      <c r="K14" s="696" t="n">
        <f aca="true" t="array" ref="K14:K14">IF($C14="Automático",IF(ACOMPANHAMENTO="BM",BM.medicao,PLE.Medicao),IF(ISBLANK($X14),"",$X14))</f>
        <v>1</v>
      </c>
      <c r="L14" s="546" t="n">
        <f aca="false">QCI!$O14</f>
        <v>0</v>
      </c>
      <c r="M14" s="543" t="n">
        <f aca="false">ROUND(IF(C14="Automático",AE14+AL14,Y14),2)</f>
        <v>0</v>
      </c>
      <c r="N14" s="544" t="n">
        <f aca="false">O14-M14</f>
        <v>0</v>
      </c>
      <c r="O14" s="545" t="n">
        <f aca="false">ROUND(IF(C14="Automático",AH14+AO14,Z14),2)</f>
        <v>0</v>
      </c>
      <c r="P14" s="697" t="n">
        <f aca="false">O14/(L14+10^-12)</f>
        <v>0</v>
      </c>
      <c r="R14" s="698" t="n">
        <f aca="false">ROUND(IF($C14="Automático",AC14+AJ14,$Y14*IF(ISERROR(QCI!$AA14/QCI!$O14),0,QCI!$AA14/QCI!$O14)),2)</f>
        <v>0</v>
      </c>
      <c r="S14" s="698" t="n">
        <f aca="false">ROUND(IF($C14="Automático",AD14+AK14,$Y14*IF(ISERROR(QCI!$AB14/QCI!$O14),0,QCI!$AB14/QCI!$O14)),2)</f>
        <v>0</v>
      </c>
      <c r="T14" s="698" t="n">
        <f aca="false">ROUND(IF($C14="Automático",AF14+AM14,$Z14*IF(ISERROR(QCI!$AA14/QCI!$O14),0,QCI!$AA14/QCI!$O14)),2)</f>
        <v>0</v>
      </c>
      <c r="U14" s="698" t="n">
        <f aca="false">ROUND(IF($C14="Automático",AG14+AN14,$Z14*IF(ISERROR(QCI!$AB14/QCI!$O14),0,QCI!$AB14/QCI!$O14)),2)</f>
        <v>0</v>
      </c>
      <c r="V14" s="98" t="n">
        <f aca="true">IF(AND($L14&gt;0,$J14&lt;&gt;0,$J14&lt;&gt;"",COUNTIF($J$13:$J14,$J14)=1),OFFSET(V14,-1,0)+1,OFFSET(V14,-1,0))</f>
        <v>0</v>
      </c>
      <c r="X14" s="699"/>
      <c r="Y14" s="700"/>
      <c r="Z14" s="701"/>
      <c r="AC14" s="266" t="n">
        <f aca="true" t="array" ref="AC14:AC14">IF(ACOMPANHAMENTO&lt;&gt;"PLE",0,SUMPRODUCT((OFFSET(CÁLCULO!$AX$15:$BH$15,$A14,0,$B14)&lt;=(PLE.Medicao-1))*OFFSET(CÁLCULO!$AB$15:$AL$15,$A14,0,$B14)*OFFSET(ORÇAMENTO!$AA$15,$A14,0,$B14)/(OFFSET(ORÇAMENTO!$X$15,$A14,0,$B14)+10^-12))+IF(AUTOEVENTO="Manual",SUMPRODUCT((OFFSET(CÁLCULO!$M$15,$A14,0,$B14)=1)*OFFSET(ORÇAMENTO!$AA$15,$A14,0,$B14)*(PLE!$AE$9-PLE!$Y$9)),0))</f>
        <v>0</v>
      </c>
      <c r="AD14" s="266" t="n">
        <f aca="true" t="array" ref="AD14:AD14">IF(ACOMPANHAMENTO&lt;&gt;"PLE",0,SUMPRODUCT((OFFSET(CÁLCULO!$AX$15:$BH$15,$A14,0,$B14)&lt;=(PLE.Medicao-1))*OFFSET(CÁLCULO!$AB$15:$AL$15,$A14,0,$B14)*OFFSET(ORÇAMENTO!$AB$15,$A14,0,$B14)/(OFFSET(ORÇAMENTO!$X$15,$A14,0,$B14)+10^-12))+IF(AUTOEVENTO="Manual",SUMPRODUCT((OFFSET(CÁLCULO!$M$15,$A14,0,$B14)=1)*OFFSET(ORÇAMENTO!$AB$15,$A14,0,$B14)*(PLE!$AE$9-PLE!$Y$9)),0))</f>
        <v>0</v>
      </c>
      <c r="AE14" s="266" t="n">
        <f aca="true">ROUND(
            IF(ACOMPANHAMENTO&lt;&gt;"PLE",0,
                      SUMIF(OFFSET(CÁLCULO!$AX$15:$BH$15,$A14,0,$B14),"&lt;="&amp;(PLE.Medicao-1),OFFSET(CÁLCULO!$AB$15:$AL$15,$A14,0,$B14))
                      +IF(AdmLocal="Automática",
                              SUMIF(OFFSET(CÁLCULO!$M$15,$A14,0,$B14),1,OFFSET(ORÇAMENTO!$X$15,$A14,0,$B14))*(PLE!$AE$9-PLE!$Y$9),
                              0)),
            2)</f>
        <v>0</v>
      </c>
      <c r="AF14" s="266" t="n">
        <f aca="true" t="array" ref="AF14:AF14">IF(ACOMPANHAMENTO&lt;&gt;"PLE",0,SUMPRODUCT((OFFSET(CÁLCULO!$AX$15:$BH$15,$A14,0,$B14)&lt;=PLE.Medicao)*OFFSET(CÁLCULO!$AB$15:$AL$15,$A14,0,$B14)*OFFSET(ORÇAMENTO!$AA$15,$A14,0,$B14)/(OFFSET(ORÇAMENTO!$X$15,$A14,0,$B14)+10^-12))+IF(AUTOEVENTO="Manual",SUMPRODUCT((OFFSET(CÁLCULO!$M$15,$A14,0,$B14)=1)*OFFSET(ORÇAMENTO!$AA$15,$A14,0,$B14)*PLE!$AE$9),0))</f>
        <v>0</v>
      </c>
      <c r="AG14" s="266" t="n">
        <f aca="true" t="array" ref="AG14:AG14">IF(ACOMPANHAMENTO&lt;&gt;"PLE",0,SUMPRODUCT((OFFSET(CÁLCULO!$AX$15:$BH$15,$A14,0,$B14)&lt;=PLE.Medicao)*OFFSET(CÁLCULO!$AB$15:$AL$15,$A14,0,$B14)*OFFSET(ORÇAMENTO!$AB$15,$A14,0,$B14)/(OFFSET(ORÇAMENTO!$X$15,$A14,0,$B14)+10^-12))+IF(AUTOEVENTO="Manual",SUMPRODUCT((OFFSET(CÁLCULO!$M$15,$A14,0,$B14)=1)*OFFSET(ORÇAMENTO!$AB$15,$A14,0,$B14)*PLE!$AE$9),0))</f>
        <v>0</v>
      </c>
      <c r="AH14" s="266" t="n">
        <f aca="true">ROUND(IF(ACOMPANHAMENTO&lt;&gt;"PLE",0,SUMIF(OFFSET(CÁLCULO!$AX$15:$BH$15,$A14,0,$B14),"&lt;="&amp;PLE.Medicao,OFFSET(CÁLCULO!$AB$15:$AL$15,$A14,0,$B14))+IF(AdmLocal="Automática",SUMIF(OFFSET(CÁLCULO!$M$15,$A14,0,$B14),1,OFFSET(ORÇAMENTO!$X$15,$A14,0,$B14))*PLE!$AE$9,0)),2)</f>
        <v>0</v>
      </c>
      <c r="AJ14" s="266" t="n">
        <f aca="true" t="array" ref="AJ14:AJ14">IF(ACOMPANHAMENTO&lt;&gt;"BM",0,SUMPRODUCT(OFFSET(BM!$M$15,$A14,0,$B14)*(OFFSET(BM!$A$15,$A14,0,$B14)="S")*OFFSET(ORÇAMENTO!AA$15,$A14,0,$B14)/(OFFSET(ORÇAMENTO!$X$15,$A14,0,$B14)+10^-12)))</f>
        <v>0</v>
      </c>
      <c r="AK14" s="266" t="n">
        <f aca="true" t="array" ref="AK14:AK14">IF(ACOMPANHAMENTO&lt;&gt;"BM",0,SUMPRODUCT(OFFSET(BM!$M$15,$A14,0,$B14)*(OFFSET(BM!$A$15,$A14,0,$B14)="S")*OFFSET(ORÇAMENTO!AB$15,$A14,0,$B14)/(OFFSET(ORÇAMENTO!$X$15,$A14,0,$B14)+10^-12)))</f>
        <v>0</v>
      </c>
      <c r="AL14" s="266" t="n">
        <f aca="true">IF(ACOMPANHAMENTO&lt;&gt;"BM",0,OFFSET(BM!$M$15,$A14,0))</f>
        <v>0</v>
      </c>
      <c r="AM14" s="266" t="n">
        <f aca="true" t="array" ref="AM14:AM14">IF(ACOMPANHAMENTO&lt;&gt;"BM",0,SUMPRODUCT(OFFSET(BM!$O$15,$A14,0,$B14)*(OFFSET(BM!$A$15,$A14,0,$B14)="S")*OFFSET(ORÇAMENTO!AA$15,$A14,0,$B14)/(OFFSET(ORÇAMENTO!$X$15,$A14,0,$B14)+10^-12)))</f>
        <v>0</v>
      </c>
      <c r="AN14" s="266" t="n">
        <f aca="true" t="array" ref="AN14:AN14">IF(ACOMPANHAMENTO&lt;&gt;"BM",0,SUMPRODUCT(OFFSET(BM!$O$15,$A14,0,$B14)*(OFFSET(BM!$A$15,$A14,0,$B14)="S")*OFFSET(ORÇAMENTO!AB$15,$A14,0,$B14)/(OFFSET(ORÇAMENTO!$X$15,$A14,0,$B14)+10^-12)))</f>
        <v>0</v>
      </c>
      <c r="AO14" s="266" t="n">
        <f aca="true">IF(ACOMPANHAMENTO&lt;&gt;"BM",0,OFFSET(BM!$O$15,$A14,0))</f>
        <v>0</v>
      </c>
    </row>
    <row r="15" customFormat="false" ht="30" hidden="false" customHeight="true" outlineLevel="0" collapsed="false">
      <c r="A15" s="0" t="e">
        <f aca="false">MATCH(E15,ORÇAMENTO!$E$15:$E$59,0)-1</f>
        <v>#N/A</v>
      </c>
      <c r="B15" s="0" t="e">
        <f aca="true">IF(ISERROR($A15),NA(),OFFSET(ORÇAMENTO!$D$15,$A15,0))</f>
        <v>#N/A</v>
      </c>
      <c r="C15" s="0" t="str">
        <f aca="false">QCI!B15</f>
        <v>Branco</v>
      </c>
      <c r="D15" s="0" t="str">
        <f aca="false">IF(L15&gt;0,"F","")</f>
        <v/>
      </c>
      <c r="E15" s="538" t="n">
        <f aca="false">QCI!D15</f>
        <v>2</v>
      </c>
      <c r="F15" s="693" t="str">
        <f aca="false">QCI!G15</f>
        <v/>
      </c>
      <c r="G15" s="694" t="n">
        <f aca="false">QCI!H15</f>
        <v>0</v>
      </c>
      <c r="H15" s="541" t="n">
        <f aca="false">QCI!I15</f>
        <v>0</v>
      </c>
      <c r="I15" s="541" t="str">
        <f aca="false">QCI!J15</f>
        <v/>
      </c>
      <c r="J15" s="695" t="str">
        <f aca="false">QCI!K15</f>
        <v/>
      </c>
      <c r="K15" s="696" t="str">
        <f aca="true" t="array" ref="K15:K15">IF($C15="Automático",IF(ACOMPANHAMENTO="BM",BM.medicao,PLE.Medicao),IF(ISBLANK($X15),"",$X15))</f>
        <v/>
      </c>
      <c r="L15" s="546" t="n">
        <f aca="false">QCI!$O15</f>
        <v>0</v>
      </c>
      <c r="M15" s="543" t="n">
        <f aca="false">ROUND(IF(C15="Automático",AE15+AL15,Y15),2)</f>
        <v>0</v>
      </c>
      <c r="N15" s="544" t="n">
        <f aca="false">O15-M15</f>
        <v>0</v>
      </c>
      <c r="O15" s="545" t="n">
        <f aca="false">ROUND(IF(C15="Automático",AH15+AO15,Z15),2)</f>
        <v>0</v>
      </c>
      <c r="P15" s="697" t="n">
        <f aca="false">O15/(L15+10^-12)</f>
        <v>0</v>
      </c>
      <c r="R15" s="698" t="n">
        <f aca="false">ROUND(IF($C15="Automático",AC15+AJ15,$Y15*IF(ISERROR(QCI!$AA15/QCI!$O15),0,QCI!$AA15/QCI!$O15)),2)</f>
        <v>0</v>
      </c>
      <c r="S15" s="698" t="n">
        <f aca="false">ROUND(IF($C15="Automático",AD15+AK15,$Y15*IF(ISERROR(QCI!$AB15/QCI!$O15),0,QCI!$AB15/QCI!$O15)),2)</f>
        <v>0</v>
      </c>
      <c r="T15" s="698" t="n">
        <f aca="false">ROUND(IF($C15="Automático",AF15+AM15,$Z15*IF(ISERROR(QCI!$AA15/QCI!$O15),0,QCI!$AA15/QCI!$O15)),2)</f>
        <v>0</v>
      </c>
      <c r="U15" s="698" t="n">
        <f aca="false">ROUND(IF($C15="Automático",AG15+AN15,$Z15*IF(ISERROR(QCI!$AB15/QCI!$O15),0,QCI!$AB15/QCI!$O15)),2)</f>
        <v>0</v>
      </c>
      <c r="V15" s="98" t="n">
        <f aca="true">IF(AND($L15&gt;0,$J15&lt;&gt;0,$J15&lt;&gt;"",COUNTIF($J$13:$J15,$J15)=1),OFFSET(V15,-1,0)+1,OFFSET(V15,-1,0))</f>
        <v>0</v>
      </c>
      <c r="X15" s="699"/>
      <c r="Y15" s="700"/>
      <c r="Z15" s="701"/>
      <c r="AC15" s="266" t="n">
        <f aca="true" t="array" ref="AC15:AC15">IF(ACOMPANHAMENTO&lt;&gt;"PLE",0,SUMPRODUCT((OFFSET(CÁLCULO!$AX$15:$BH$15,$A15,0,$B15)&lt;=(PLE.Medicao-1))*OFFSET(CÁLCULO!$AB$15:$AL$15,$A15,0,$B15)*OFFSET(ORÇAMENTO!$AA$15,$A15,0,$B15)/(OFFSET(ORÇAMENTO!$X$15,$A15,0,$B15)+10^-12))+IF(AUTOEVENTO="Manual",SUMPRODUCT((OFFSET(CÁLCULO!$M$15,$A15,0,$B15)=1)*OFFSET(ORÇAMENTO!$AA$15,$A15,0,$B15)*(PLE!$AE$9-PLE!$Y$9)),0))</f>
        <v>0</v>
      </c>
      <c r="AD15" s="266" t="n">
        <f aca="true" t="array" ref="AD15:AD15">IF(ACOMPANHAMENTO&lt;&gt;"PLE",0,SUMPRODUCT((OFFSET(CÁLCULO!$AX$15:$BH$15,$A15,0,$B15)&lt;=(PLE.Medicao-1))*OFFSET(CÁLCULO!$AB$15:$AL$15,$A15,0,$B15)*OFFSET(ORÇAMENTO!$AB$15,$A15,0,$B15)/(OFFSET(ORÇAMENTO!$X$15,$A15,0,$B15)+10^-12))+IF(AUTOEVENTO="Manual",SUMPRODUCT((OFFSET(CÁLCULO!$M$15,$A15,0,$B15)=1)*OFFSET(ORÇAMENTO!$AB$15,$A15,0,$B15)*(PLE!$AE$9-PLE!$Y$9)),0))</f>
        <v>0</v>
      </c>
      <c r="AE15" s="266" t="n">
        <f aca="true">ROUND(
            IF(ACOMPANHAMENTO&lt;&gt;"PLE",0,
                      SUMIF(OFFSET(CÁLCULO!$AX$15:$BH$15,$A15,0,$B15),"&lt;="&amp;(PLE.Medicao-1),OFFSET(CÁLCULO!$AB$15:$AL$15,$A15,0,$B15))
                      +IF(AdmLocal="Automática",
                              SUMIF(OFFSET(CÁLCULO!$M$15,$A15,0,$B15),1,OFFSET(ORÇAMENTO!$X$15,$A15,0,$B15))*(PLE!$AE$9-PLE!$Y$9),
                              0)),
            2)</f>
        <v>0</v>
      </c>
      <c r="AF15" s="266" t="n">
        <f aca="true" t="array" ref="AF15:AF15">IF(ACOMPANHAMENTO&lt;&gt;"PLE",0,SUMPRODUCT((OFFSET(CÁLCULO!$AX$15:$BH$15,$A15,0,$B15)&lt;=PLE.Medicao)*OFFSET(CÁLCULO!$AB$15:$AL$15,$A15,0,$B15)*OFFSET(ORÇAMENTO!$AA$15,$A15,0,$B15)/(OFFSET(ORÇAMENTO!$X$15,$A15,0,$B15)+10^-12))+IF(AUTOEVENTO="Manual",SUMPRODUCT((OFFSET(CÁLCULO!$M$15,$A15,0,$B15)=1)*OFFSET(ORÇAMENTO!$AA$15,$A15,0,$B15)*PLE!$AE$9),0))</f>
        <v>0</v>
      </c>
      <c r="AG15" s="266" t="n">
        <f aca="true" t="array" ref="AG15:AG15">IF(ACOMPANHAMENTO&lt;&gt;"PLE",0,SUMPRODUCT((OFFSET(CÁLCULO!$AX$15:$BH$15,$A15,0,$B15)&lt;=PLE.Medicao)*OFFSET(CÁLCULO!$AB$15:$AL$15,$A15,0,$B15)*OFFSET(ORÇAMENTO!$AB$15,$A15,0,$B15)/(OFFSET(ORÇAMENTO!$X$15,$A15,0,$B15)+10^-12))+IF(AUTOEVENTO="Manual",SUMPRODUCT((OFFSET(CÁLCULO!$M$15,$A15,0,$B15)=1)*OFFSET(ORÇAMENTO!$AB$15,$A15,0,$B15)*PLE!$AE$9),0))</f>
        <v>0</v>
      </c>
      <c r="AH15" s="266" t="n">
        <f aca="true">ROUND(IF(ACOMPANHAMENTO&lt;&gt;"PLE",0,SUMIF(OFFSET(CÁLCULO!$AX$15:$BH$15,$A15,0,$B15),"&lt;="&amp;PLE.Medicao,OFFSET(CÁLCULO!$AB$15:$AL$15,$A15,0,$B15))+IF(AdmLocal="Automática",SUMIF(OFFSET(CÁLCULO!$M$15,$A15,0,$B15),1,OFFSET(ORÇAMENTO!$X$15,$A15,0,$B15))*PLE!$AE$9,0)),2)</f>
        <v>0</v>
      </c>
      <c r="AJ15" s="266" t="e">
        <f aca="true" t="array" ref="AJ15:AJ15">IF(ACOMPANHAMENTO&lt;&gt;"BM",0,SUMPRODUCT(OFFSET(BM!$M$15,$A15,0,$B15)*(OFFSET(BM!$A$15,$A15,0,$B15)="S")*OFFSET(ORÇAMENTO!AA$15,$A15,0,$B15)/(OFFSET(ORÇAMENTO!$X$15,$A15,0,$B15)+10^-12)))</f>
        <v>#N/A</v>
      </c>
      <c r="AK15" s="266" t="e">
        <f aca="true" t="array" ref="AK15:AK15">IF(ACOMPANHAMENTO&lt;&gt;"BM",0,SUMPRODUCT(OFFSET(BM!$M$15,$A15,0,$B15)*(OFFSET(BM!$A$15,$A15,0,$B15)="S")*OFFSET(ORÇAMENTO!AB$15,$A15,0,$B15)/(OFFSET(ORÇAMENTO!$X$15,$A15,0,$B15)+10^-12)))</f>
        <v>#N/A</v>
      </c>
      <c r="AL15" s="266" t="e">
        <f aca="true">IF(ACOMPANHAMENTO&lt;&gt;"BM",0,OFFSET(BM!$M$15,$A15,0))</f>
        <v>#N/A</v>
      </c>
      <c r="AM15" s="266" t="e">
        <f aca="true" t="array" ref="AM15:AM15">IF(ACOMPANHAMENTO&lt;&gt;"BM",0,SUMPRODUCT(OFFSET(BM!$O$15,$A15,0,$B15)*(OFFSET(BM!$A$15,$A15,0,$B15)="S")*OFFSET(ORÇAMENTO!AA$15,$A15,0,$B15)/(OFFSET(ORÇAMENTO!$X$15,$A15,0,$B15)+10^-12)))</f>
        <v>#N/A</v>
      </c>
      <c r="AN15" s="266" t="e">
        <f aca="true" t="array" ref="AN15:AN15">IF(ACOMPANHAMENTO&lt;&gt;"BM",0,SUMPRODUCT(OFFSET(BM!$O$15,$A15,0,$B15)*(OFFSET(BM!$A$15,$A15,0,$B15)="S")*OFFSET(ORÇAMENTO!AB$15,$A15,0,$B15)/(OFFSET(ORÇAMENTO!$X$15,$A15,0,$B15)+10^-12)))</f>
        <v>#N/A</v>
      </c>
      <c r="AO15" s="266" t="e">
        <f aca="true">IF(ACOMPANHAMENTO&lt;&gt;"BM",0,OFFSET(BM!$O$15,$A15,0))</f>
        <v>#N/A</v>
      </c>
    </row>
    <row r="16" customFormat="false" ht="30" hidden="false" customHeight="true" outlineLevel="0" collapsed="false">
      <c r="A16" s="0" t="e">
        <f aca="false">MATCH(E16,ORÇAMENTO!$E$15:$E$59,0)-1</f>
        <v>#N/A</v>
      </c>
      <c r="B16" s="0" t="e">
        <f aca="true">IF(ISERROR($A16),NA(),OFFSET(ORÇAMENTO!$D$15,$A16,0))</f>
        <v>#N/A</v>
      </c>
      <c r="C16" s="0" t="str">
        <f aca="false">QCI!B16</f>
        <v>Branco</v>
      </c>
      <c r="D16" s="0" t="str">
        <f aca="false">IF(L16&gt;0,"F","")</f>
        <v/>
      </c>
      <c r="E16" s="538" t="n">
        <f aca="false">QCI!D16</f>
        <v>3</v>
      </c>
      <c r="F16" s="693" t="str">
        <f aca="false">QCI!G16</f>
        <v/>
      </c>
      <c r="G16" s="694" t="n">
        <f aca="false">QCI!H16</f>
        <v>0</v>
      </c>
      <c r="H16" s="541" t="n">
        <f aca="false">QCI!I16</f>
        <v>0</v>
      </c>
      <c r="I16" s="541" t="str">
        <f aca="false">QCI!J16</f>
        <v/>
      </c>
      <c r="J16" s="695" t="str">
        <f aca="false">QCI!K16</f>
        <v/>
      </c>
      <c r="K16" s="696" t="str">
        <f aca="true" t="array" ref="K16:K16">IF($C16="Automático",IF(ACOMPANHAMENTO="BM",BM.medicao,PLE.Medicao),IF(ISBLANK($X16),"",$X16))</f>
        <v/>
      </c>
      <c r="L16" s="546" t="n">
        <f aca="false">QCI!$O16</f>
        <v>0</v>
      </c>
      <c r="M16" s="543" t="n">
        <f aca="false">ROUND(IF(C16="Automático",AE16+AL16,Y16),2)</f>
        <v>0</v>
      </c>
      <c r="N16" s="544" t="n">
        <f aca="false">O16-M16</f>
        <v>0</v>
      </c>
      <c r="O16" s="545" t="n">
        <f aca="false">ROUND(IF(C16="Automático",AH16+AO16,Z16),2)</f>
        <v>0</v>
      </c>
      <c r="P16" s="697" t="n">
        <f aca="false">O16/(L16+10^-12)</f>
        <v>0</v>
      </c>
      <c r="R16" s="698" t="n">
        <f aca="false">ROUND(IF($C16="Automático",AC16+AJ16,$Y16*IF(ISERROR(QCI!$AA16/QCI!$O16),0,QCI!$AA16/QCI!$O16)),2)</f>
        <v>0</v>
      </c>
      <c r="S16" s="698" t="n">
        <f aca="false">ROUND(IF($C16="Automático",AD16+AK16,$Y16*IF(ISERROR(QCI!$AB16/QCI!$O16),0,QCI!$AB16/QCI!$O16)),2)</f>
        <v>0</v>
      </c>
      <c r="T16" s="698" t="n">
        <f aca="false">ROUND(IF($C16="Automático",AF16+AM16,$Z16*IF(ISERROR(QCI!$AA16/QCI!$O16),0,QCI!$AA16/QCI!$O16)),2)</f>
        <v>0</v>
      </c>
      <c r="U16" s="698" t="n">
        <f aca="false">ROUND(IF($C16="Automático",AG16+AN16,$Z16*IF(ISERROR(QCI!$AB16/QCI!$O16),0,QCI!$AB16/QCI!$O16)),2)</f>
        <v>0</v>
      </c>
      <c r="V16" s="98" t="n">
        <f aca="true">IF(AND($L16&gt;0,$J16&lt;&gt;0,$J16&lt;&gt;"",COUNTIF($J$13:$J16,$J16)=1),OFFSET(V16,-1,0)+1,OFFSET(V16,-1,0))</f>
        <v>0</v>
      </c>
      <c r="X16" s="699"/>
      <c r="Y16" s="700"/>
      <c r="Z16" s="701"/>
      <c r="AC16" s="266" t="n">
        <f aca="true" t="array" ref="AC16:AC16">IF(ACOMPANHAMENTO&lt;&gt;"PLE",0,SUMPRODUCT((OFFSET(CÁLCULO!$AX$15:$BH$15,$A16,0,$B16)&lt;=(PLE.Medicao-1))*OFFSET(CÁLCULO!$AB$15:$AL$15,$A16,0,$B16)*OFFSET(ORÇAMENTO!$AA$15,$A16,0,$B16)/(OFFSET(ORÇAMENTO!$X$15,$A16,0,$B16)+10^-12))+IF(AUTOEVENTO="Manual",SUMPRODUCT((OFFSET(CÁLCULO!$M$15,$A16,0,$B16)=1)*OFFSET(ORÇAMENTO!$AA$15,$A16,0,$B16)*(PLE!$AE$9-PLE!$Y$9)),0))</f>
        <v>0</v>
      </c>
      <c r="AD16" s="266" t="n">
        <f aca="true" t="array" ref="AD16:AD16">IF(ACOMPANHAMENTO&lt;&gt;"PLE",0,SUMPRODUCT((OFFSET(CÁLCULO!$AX$15:$BH$15,$A16,0,$B16)&lt;=(PLE.Medicao-1))*OFFSET(CÁLCULO!$AB$15:$AL$15,$A16,0,$B16)*OFFSET(ORÇAMENTO!$AB$15,$A16,0,$B16)/(OFFSET(ORÇAMENTO!$X$15,$A16,0,$B16)+10^-12))+IF(AUTOEVENTO="Manual",SUMPRODUCT((OFFSET(CÁLCULO!$M$15,$A16,0,$B16)=1)*OFFSET(ORÇAMENTO!$AB$15,$A16,0,$B16)*(PLE!$AE$9-PLE!$Y$9)),0))</f>
        <v>0</v>
      </c>
      <c r="AE16" s="266" t="n">
        <f aca="true">ROUND(
            IF(ACOMPANHAMENTO&lt;&gt;"PLE",0,
                      SUMIF(OFFSET(CÁLCULO!$AX$15:$BH$15,$A16,0,$B16),"&lt;="&amp;(PLE.Medicao-1),OFFSET(CÁLCULO!$AB$15:$AL$15,$A16,0,$B16))
                      +IF(AdmLocal="Automática",
                              SUMIF(OFFSET(CÁLCULO!$M$15,$A16,0,$B16),1,OFFSET(ORÇAMENTO!$X$15,$A16,0,$B16))*(PLE!$AE$9-PLE!$Y$9),
                              0)),
            2)</f>
        <v>0</v>
      </c>
      <c r="AF16" s="266" t="n">
        <f aca="true" t="array" ref="AF16:AF16">IF(ACOMPANHAMENTO&lt;&gt;"PLE",0,SUMPRODUCT((OFFSET(CÁLCULO!$AX$15:$BH$15,$A16,0,$B16)&lt;=PLE.Medicao)*OFFSET(CÁLCULO!$AB$15:$AL$15,$A16,0,$B16)*OFFSET(ORÇAMENTO!$AA$15,$A16,0,$B16)/(OFFSET(ORÇAMENTO!$X$15,$A16,0,$B16)+10^-12))+IF(AUTOEVENTO="Manual",SUMPRODUCT((OFFSET(CÁLCULO!$M$15,$A16,0,$B16)=1)*OFFSET(ORÇAMENTO!$AA$15,$A16,0,$B16)*PLE!$AE$9),0))</f>
        <v>0</v>
      </c>
      <c r="AG16" s="266" t="n">
        <f aca="true" t="array" ref="AG16:AG16">IF(ACOMPANHAMENTO&lt;&gt;"PLE",0,SUMPRODUCT((OFFSET(CÁLCULO!$AX$15:$BH$15,$A16,0,$B16)&lt;=PLE.Medicao)*OFFSET(CÁLCULO!$AB$15:$AL$15,$A16,0,$B16)*OFFSET(ORÇAMENTO!$AB$15,$A16,0,$B16)/(OFFSET(ORÇAMENTO!$X$15,$A16,0,$B16)+10^-12))+IF(AUTOEVENTO="Manual",SUMPRODUCT((OFFSET(CÁLCULO!$M$15,$A16,0,$B16)=1)*OFFSET(ORÇAMENTO!$AB$15,$A16,0,$B16)*PLE!$AE$9),0))</f>
        <v>0</v>
      </c>
      <c r="AH16" s="266" t="n">
        <f aca="true">ROUND(IF(ACOMPANHAMENTO&lt;&gt;"PLE",0,SUMIF(OFFSET(CÁLCULO!$AX$15:$BH$15,$A16,0,$B16),"&lt;="&amp;PLE.Medicao,OFFSET(CÁLCULO!$AB$15:$AL$15,$A16,0,$B16))+IF(AdmLocal="Automática",SUMIF(OFFSET(CÁLCULO!$M$15,$A16,0,$B16),1,OFFSET(ORÇAMENTO!$X$15,$A16,0,$B16))*PLE!$AE$9,0)),2)</f>
        <v>0</v>
      </c>
      <c r="AJ16" s="266" t="e">
        <f aca="true" t="array" ref="AJ16:AJ16">IF(ACOMPANHAMENTO&lt;&gt;"BM",0,SUMPRODUCT(OFFSET(BM!$M$15,$A16,0,$B16)*(OFFSET(BM!$A$15,$A16,0,$B16)="S")*OFFSET(ORÇAMENTO!AA$15,$A16,0,$B16)/(OFFSET(ORÇAMENTO!$X$15,$A16,0,$B16)+10^-12)))</f>
        <v>#N/A</v>
      </c>
      <c r="AK16" s="266" t="e">
        <f aca="true" t="array" ref="AK16:AK16">IF(ACOMPANHAMENTO&lt;&gt;"BM",0,SUMPRODUCT(OFFSET(BM!$M$15,$A16,0,$B16)*(OFFSET(BM!$A$15,$A16,0,$B16)="S")*OFFSET(ORÇAMENTO!AB$15,$A16,0,$B16)/(OFFSET(ORÇAMENTO!$X$15,$A16,0,$B16)+10^-12)))</f>
        <v>#N/A</v>
      </c>
      <c r="AL16" s="266" t="e">
        <f aca="true">IF(ACOMPANHAMENTO&lt;&gt;"BM",0,OFFSET(BM!$M$15,$A16,0))</f>
        <v>#N/A</v>
      </c>
      <c r="AM16" s="266" t="e">
        <f aca="true" t="array" ref="AM16:AM16">IF(ACOMPANHAMENTO&lt;&gt;"BM",0,SUMPRODUCT(OFFSET(BM!$O$15,$A16,0,$B16)*(OFFSET(BM!$A$15,$A16,0,$B16)="S")*OFFSET(ORÇAMENTO!AA$15,$A16,0,$B16)/(OFFSET(ORÇAMENTO!$X$15,$A16,0,$B16)+10^-12)))</f>
        <v>#N/A</v>
      </c>
      <c r="AN16" s="266" t="e">
        <f aca="true" t="array" ref="AN16:AN16">IF(ACOMPANHAMENTO&lt;&gt;"BM",0,SUMPRODUCT(OFFSET(BM!$O$15,$A16,0,$B16)*(OFFSET(BM!$A$15,$A16,0,$B16)="S")*OFFSET(ORÇAMENTO!AB$15,$A16,0,$B16)/(OFFSET(ORÇAMENTO!$X$15,$A16,0,$B16)+10^-12)))</f>
        <v>#N/A</v>
      </c>
      <c r="AO16" s="266" t="e">
        <f aca="true">IF(ACOMPANHAMENTO&lt;&gt;"BM",0,OFFSET(BM!$O$15,$A16,0))</f>
        <v>#N/A</v>
      </c>
    </row>
    <row r="17" customFormat="false" ht="30" hidden="false" customHeight="true" outlineLevel="0" collapsed="false">
      <c r="A17" s="0" t="e">
        <f aca="false">MATCH(E17,ORÇAMENTO!$E$15:$E$59,0)-1</f>
        <v>#N/A</v>
      </c>
      <c r="B17" s="0" t="e">
        <f aca="true">IF(ISERROR($A17),NA(),OFFSET(ORÇAMENTO!$D$15,$A17,0))</f>
        <v>#N/A</v>
      </c>
      <c r="C17" s="0" t="str">
        <f aca="false">QCI!B17</f>
        <v>Branco</v>
      </c>
      <c r="D17" s="0" t="str">
        <f aca="false">IF(L17&gt;0,"F","")</f>
        <v/>
      </c>
      <c r="E17" s="538" t="n">
        <f aca="false">QCI!D17</f>
        <v>4</v>
      </c>
      <c r="F17" s="693" t="str">
        <f aca="false">QCI!G17</f>
        <v/>
      </c>
      <c r="G17" s="694" t="n">
        <f aca="false">QCI!H17</f>
        <v>0</v>
      </c>
      <c r="H17" s="541" t="n">
        <f aca="false">QCI!I17</f>
        <v>0</v>
      </c>
      <c r="I17" s="541" t="str">
        <f aca="false">QCI!J17</f>
        <v/>
      </c>
      <c r="J17" s="695" t="str">
        <f aca="false">QCI!K17</f>
        <v/>
      </c>
      <c r="K17" s="696" t="str">
        <f aca="true" t="array" ref="K17:K17">IF($C17="Automático",IF(ACOMPANHAMENTO="BM",BM.medicao,PLE.Medicao),IF(ISBLANK($X17),"",$X17))</f>
        <v/>
      </c>
      <c r="L17" s="546" t="n">
        <f aca="false">QCI!$O17</f>
        <v>0</v>
      </c>
      <c r="M17" s="543" t="n">
        <f aca="false">ROUND(IF(C17="Automático",AE17+AL17,Y17),2)</f>
        <v>0</v>
      </c>
      <c r="N17" s="544" t="n">
        <f aca="false">O17-M17</f>
        <v>0</v>
      </c>
      <c r="O17" s="545" t="n">
        <f aca="false">ROUND(IF(C17="Automático",AH17+AO17,Z17),2)</f>
        <v>0</v>
      </c>
      <c r="P17" s="697" t="n">
        <f aca="false">O17/(L17+10^-12)</f>
        <v>0</v>
      </c>
      <c r="R17" s="698" t="n">
        <f aca="false">ROUND(IF($C17="Automático",AC17+AJ17,$Y17*IF(ISERROR(QCI!$AA17/QCI!$O17),0,QCI!$AA17/QCI!$O17)),2)</f>
        <v>0</v>
      </c>
      <c r="S17" s="698" t="n">
        <f aca="false">ROUND(IF($C17="Automático",AD17+AK17,$Y17*IF(ISERROR(QCI!$AB17/QCI!$O17),0,QCI!$AB17/QCI!$O17)),2)</f>
        <v>0</v>
      </c>
      <c r="T17" s="698" t="n">
        <f aca="false">ROUND(IF($C17="Automático",AF17+AM17,$Z17*IF(ISERROR(QCI!$AA17/QCI!$O17),0,QCI!$AA17/QCI!$O17)),2)</f>
        <v>0</v>
      </c>
      <c r="U17" s="698" t="n">
        <f aca="false">ROUND(IF($C17="Automático",AG17+AN17,$Z17*IF(ISERROR(QCI!$AB17/QCI!$O17),0,QCI!$AB17/QCI!$O17)),2)</f>
        <v>0</v>
      </c>
      <c r="V17" s="98" t="n">
        <f aca="true">IF(AND($L17&gt;0,$J17&lt;&gt;0,$J17&lt;&gt;"",COUNTIF($J$13:$J17,$J17)=1),OFFSET(V17,-1,0)+1,OFFSET(V17,-1,0))</f>
        <v>0</v>
      </c>
      <c r="X17" s="699"/>
      <c r="Y17" s="700"/>
      <c r="Z17" s="701"/>
      <c r="AC17" s="266" t="n">
        <f aca="true" t="array" ref="AC17:AC17">IF(ACOMPANHAMENTO&lt;&gt;"PLE",0,SUMPRODUCT((OFFSET(CÁLCULO!$AX$15:$BH$15,$A17,0,$B17)&lt;=(PLE.Medicao-1))*OFFSET(CÁLCULO!$AB$15:$AL$15,$A17,0,$B17)*OFFSET(ORÇAMENTO!$AA$15,$A17,0,$B17)/(OFFSET(ORÇAMENTO!$X$15,$A17,0,$B17)+10^-12))+IF(AUTOEVENTO="Manual",SUMPRODUCT((OFFSET(CÁLCULO!$M$15,$A17,0,$B17)=1)*OFFSET(ORÇAMENTO!$AA$15,$A17,0,$B17)*(PLE!$AE$9-PLE!$Y$9)),0))</f>
        <v>0</v>
      </c>
      <c r="AD17" s="266" t="n">
        <f aca="true" t="array" ref="AD17:AD17">IF(ACOMPANHAMENTO&lt;&gt;"PLE",0,SUMPRODUCT((OFFSET(CÁLCULO!$AX$15:$BH$15,$A17,0,$B17)&lt;=(PLE.Medicao-1))*OFFSET(CÁLCULO!$AB$15:$AL$15,$A17,0,$B17)*OFFSET(ORÇAMENTO!$AB$15,$A17,0,$B17)/(OFFSET(ORÇAMENTO!$X$15,$A17,0,$B17)+10^-12))+IF(AUTOEVENTO="Manual",SUMPRODUCT((OFFSET(CÁLCULO!$M$15,$A17,0,$B17)=1)*OFFSET(ORÇAMENTO!$AB$15,$A17,0,$B17)*(PLE!$AE$9-PLE!$Y$9)),0))</f>
        <v>0</v>
      </c>
      <c r="AE17" s="266" t="n">
        <f aca="true">ROUND(
            IF(ACOMPANHAMENTO&lt;&gt;"PLE",0,
                      SUMIF(OFFSET(CÁLCULO!$AX$15:$BH$15,$A17,0,$B17),"&lt;="&amp;(PLE.Medicao-1),OFFSET(CÁLCULO!$AB$15:$AL$15,$A17,0,$B17))
                      +IF(AdmLocal="Automática",
                              SUMIF(OFFSET(CÁLCULO!$M$15,$A17,0,$B17),1,OFFSET(ORÇAMENTO!$X$15,$A17,0,$B17))*(PLE!$AE$9-PLE!$Y$9),
                              0)),
            2)</f>
        <v>0</v>
      </c>
      <c r="AF17" s="266" t="n">
        <f aca="true" t="array" ref="AF17:AF17">IF(ACOMPANHAMENTO&lt;&gt;"PLE",0,SUMPRODUCT((OFFSET(CÁLCULO!$AX$15:$BH$15,$A17,0,$B17)&lt;=PLE.Medicao)*OFFSET(CÁLCULO!$AB$15:$AL$15,$A17,0,$B17)*OFFSET(ORÇAMENTO!$AA$15,$A17,0,$B17)/(OFFSET(ORÇAMENTO!$X$15,$A17,0,$B17)+10^-12))+IF(AUTOEVENTO="Manual",SUMPRODUCT((OFFSET(CÁLCULO!$M$15,$A17,0,$B17)=1)*OFFSET(ORÇAMENTO!$AA$15,$A17,0,$B17)*PLE!$AE$9),0))</f>
        <v>0</v>
      </c>
      <c r="AG17" s="266" t="n">
        <f aca="true" t="array" ref="AG17:AG17">IF(ACOMPANHAMENTO&lt;&gt;"PLE",0,SUMPRODUCT((OFFSET(CÁLCULO!$AX$15:$BH$15,$A17,0,$B17)&lt;=PLE.Medicao)*OFFSET(CÁLCULO!$AB$15:$AL$15,$A17,0,$B17)*OFFSET(ORÇAMENTO!$AB$15,$A17,0,$B17)/(OFFSET(ORÇAMENTO!$X$15,$A17,0,$B17)+10^-12))+IF(AUTOEVENTO="Manual",SUMPRODUCT((OFFSET(CÁLCULO!$M$15,$A17,0,$B17)=1)*OFFSET(ORÇAMENTO!$AB$15,$A17,0,$B17)*PLE!$AE$9),0))</f>
        <v>0</v>
      </c>
      <c r="AH17" s="266" t="n">
        <f aca="true">ROUND(IF(ACOMPANHAMENTO&lt;&gt;"PLE",0,SUMIF(OFFSET(CÁLCULO!$AX$15:$BH$15,$A17,0,$B17),"&lt;="&amp;PLE.Medicao,OFFSET(CÁLCULO!$AB$15:$AL$15,$A17,0,$B17))+IF(AdmLocal="Automática",SUMIF(OFFSET(CÁLCULO!$M$15,$A17,0,$B17),1,OFFSET(ORÇAMENTO!$X$15,$A17,0,$B17))*PLE!$AE$9,0)),2)</f>
        <v>0</v>
      </c>
      <c r="AJ17" s="266" t="e">
        <f aca="true" t="array" ref="AJ17:AJ17">IF(ACOMPANHAMENTO&lt;&gt;"BM",0,SUMPRODUCT(OFFSET(BM!$M$15,$A17,0,$B17)*(OFFSET(BM!$A$15,$A17,0,$B17)="S")*OFFSET(ORÇAMENTO!AA$15,$A17,0,$B17)/(OFFSET(ORÇAMENTO!$X$15,$A17,0,$B17)+10^-12)))</f>
        <v>#N/A</v>
      </c>
      <c r="AK17" s="266" t="e">
        <f aca="true" t="array" ref="AK17:AK17">IF(ACOMPANHAMENTO&lt;&gt;"BM",0,SUMPRODUCT(OFFSET(BM!$M$15,$A17,0,$B17)*(OFFSET(BM!$A$15,$A17,0,$B17)="S")*OFFSET(ORÇAMENTO!AB$15,$A17,0,$B17)/(OFFSET(ORÇAMENTO!$X$15,$A17,0,$B17)+10^-12)))</f>
        <v>#N/A</v>
      </c>
      <c r="AL17" s="266" t="e">
        <f aca="true">IF(ACOMPANHAMENTO&lt;&gt;"BM",0,OFFSET(BM!$M$15,$A17,0))</f>
        <v>#N/A</v>
      </c>
      <c r="AM17" s="266" t="e">
        <f aca="true" t="array" ref="AM17:AM17">IF(ACOMPANHAMENTO&lt;&gt;"BM",0,SUMPRODUCT(OFFSET(BM!$O$15,$A17,0,$B17)*(OFFSET(BM!$A$15,$A17,0,$B17)="S")*OFFSET(ORÇAMENTO!AA$15,$A17,0,$B17)/(OFFSET(ORÇAMENTO!$X$15,$A17,0,$B17)+10^-12)))</f>
        <v>#N/A</v>
      </c>
      <c r="AN17" s="266" t="e">
        <f aca="true" t="array" ref="AN17:AN17">IF(ACOMPANHAMENTO&lt;&gt;"BM",0,SUMPRODUCT(OFFSET(BM!$O$15,$A17,0,$B17)*(OFFSET(BM!$A$15,$A17,0,$B17)="S")*OFFSET(ORÇAMENTO!AB$15,$A17,0,$B17)/(OFFSET(ORÇAMENTO!$X$15,$A17,0,$B17)+10^-12)))</f>
        <v>#N/A</v>
      </c>
      <c r="AO17" s="266" t="e">
        <f aca="true">IF(ACOMPANHAMENTO&lt;&gt;"BM",0,OFFSET(BM!$O$15,$A17,0))</f>
        <v>#N/A</v>
      </c>
    </row>
    <row r="18" customFormat="false" ht="30" hidden="false" customHeight="true" outlineLevel="0" collapsed="false">
      <c r="A18" s="0" t="e">
        <f aca="false">MATCH(E18,ORÇAMENTO!$E$15:$E$59,0)-1</f>
        <v>#N/A</v>
      </c>
      <c r="B18" s="0" t="e">
        <f aca="true">IF(ISERROR($A18),NA(),OFFSET(ORÇAMENTO!$D$15,$A18,0))</f>
        <v>#N/A</v>
      </c>
      <c r="C18" s="0" t="str">
        <f aca="false">QCI!B18</f>
        <v>Branco</v>
      </c>
      <c r="D18" s="0" t="str">
        <f aca="false">IF(L18&gt;0,"F","")</f>
        <v/>
      </c>
      <c r="E18" s="538" t="n">
        <f aca="false">QCI!D18</f>
        <v>5</v>
      </c>
      <c r="F18" s="693" t="str">
        <f aca="false">QCI!G18</f>
        <v/>
      </c>
      <c r="G18" s="694" t="n">
        <f aca="false">QCI!H18</f>
        <v>0</v>
      </c>
      <c r="H18" s="541" t="n">
        <f aca="false">QCI!I18</f>
        <v>0</v>
      </c>
      <c r="I18" s="541" t="str">
        <f aca="false">QCI!J18</f>
        <v/>
      </c>
      <c r="J18" s="695" t="str">
        <f aca="false">QCI!K18</f>
        <v/>
      </c>
      <c r="K18" s="696" t="str">
        <f aca="true" t="array" ref="K18:K18">IF($C18="Automático",IF(ACOMPANHAMENTO="BM",BM.medicao,PLE.Medicao),IF(ISBLANK($X18),"",$X18))</f>
        <v/>
      </c>
      <c r="L18" s="546" t="n">
        <f aca="false">QCI!$O18</f>
        <v>0</v>
      </c>
      <c r="M18" s="543" t="n">
        <f aca="false">ROUND(IF(C18="Automático",AE18+AL18,Y18),2)</f>
        <v>0</v>
      </c>
      <c r="N18" s="544" t="n">
        <f aca="false">O18-M18</f>
        <v>0</v>
      </c>
      <c r="O18" s="545" t="n">
        <f aca="false">ROUND(IF(C18="Automático",AH18+AO18,Z18),2)</f>
        <v>0</v>
      </c>
      <c r="P18" s="697" t="n">
        <f aca="false">O18/(L18+10^-12)</f>
        <v>0</v>
      </c>
      <c r="R18" s="698" t="n">
        <f aca="false">ROUND(IF($C18="Automático",AC18+AJ18,$Y18*IF(ISERROR(QCI!$AA18/QCI!$O18),0,QCI!$AA18/QCI!$O18)),2)</f>
        <v>0</v>
      </c>
      <c r="S18" s="698" t="n">
        <f aca="false">ROUND(IF($C18="Automático",AD18+AK18,$Y18*IF(ISERROR(QCI!$AB18/QCI!$O18),0,QCI!$AB18/QCI!$O18)),2)</f>
        <v>0</v>
      </c>
      <c r="T18" s="698" t="n">
        <f aca="false">ROUND(IF($C18="Automático",AF18+AM18,$Z18*IF(ISERROR(QCI!$AA18/QCI!$O18),0,QCI!$AA18/QCI!$O18)),2)</f>
        <v>0</v>
      </c>
      <c r="U18" s="698" t="n">
        <f aca="false">ROUND(IF($C18="Automático",AG18+AN18,$Z18*IF(ISERROR(QCI!$AB18/QCI!$O18),0,QCI!$AB18/QCI!$O18)),2)</f>
        <v>0</v>
      </c>
      <c r="V18" s="98" t="n">
        <f aca="true">IF(AND($L18&gt;0,$J18&lt;&gt;0,$J18&lt;&gt;"",COUNTIF($J$13:$J18,$J18)=1),OFFSET(V18,-1,0)+1,OFFSET(V18,-1,0))</f>
        <v>0</v>
      </c>
      <c r="X18" s="699"/>
      <c r="Y18" s="700"/>
      <c r="Z18" s="701"/>
      <c r="AC18" s="266" t="n">
        <f aca="true" t="array" ref="AC18:AC18">IF(ACOMPANHAMENTO&lt;&gt;"PLE",0,SUMPRODUCT((OFFSET(CÁLCULO!$AX$15:$BH$15,$A18,0,$B18)&lt;=(PLE.Medicao-1))*OFFSET(CÁLCULO!$AB$15:$AL$15,$A18,0,$B18)*OFFSET(ORÇAMENTO!$AA$15,$A18,0,$B18)/(OFFSET(ORÇAMENTO!$X$15,$A18,0,$B18)+10^-12))+IF(AUTOEVENTO="Manual",SUMPRODUCT((OFFSET(CÁLCULO!$M$15,$A18,0,$B18)=1)*OFFSET(ORÇAMENTO!$AA$15,$A18,0,$B18)*(PLE!$AE$9-PLE!$Y$9)),0))</f>
        <v>0</v>
      </c>
      <c r="AD18" s="266" t="n">
        <f aca="true" t="array" ref="AD18:AD18">IF(ACOMPANHAMENTO&lt;&gt;"PLE",0,SUMPRODUCT((OFFSET(CÁLCULO!$AX$15:$BH$15,$A18,0,$B18)&lt;=(PLE.Medicao-1))*OFFSET(CÁLCULO!$AB$15:$AL$15,$A18,0,$B18)*OFFSET(ORÇAMENTO!$AB$15,$A18,0,$B18)/(OFFSET(ORÇAMENTO!$X$15,$A18,0,$B18)+10^-12))+IF(AUTOEVENTO="Manual",SUMPRODUCT((OFFSET(CÁLCULO!$M$15,$A18,0,$B18)=1)*OFFSET(ORÇAMENTO!$AB$15,$A18,0,$B18)*(PLE!$AE$9-PLE!$Y$9)),0))</f>
        <v>0</v>
      </c>
      <c r="AE18" s="266" t="n">
        <f aca="true">ROUND(
            IF(ACOMPANHAMENTO&lt;&gt;"PLE",0,
                      SUMIF(OFFSET(CÁLCULO!$AX$15:$BH$15,$A18,0,$B18),"&lt;="&amp;(PLE.Medicao-1),OFFSET(CÁLCULO!$AB$15:$AL$15,$A18,0,$B18))
                      +IF(AdmLocal="Automática",
                              SUMIF(OFFSET(CÁLCULO!$M$15,$A18,0,$B18),1,OFFSET(ORÇAMENTO!$X$15,$A18,0,$B18))*(PLE!$AE$9-PLE!$Y$9),
                              0)),
            2)</f>
        <v>0</v>
      </c>
      <c r="AF18" s="266" t="n">
        <f aca="true" t="array" ref="AF18:AF18">IF(ACOMPANHAMENTO&lt;&gt;"PLE",0,SUMPRODUCT((OFFSET(CÁLCULO!$AX$15:$BH$15,$A18,0,$B18)&lt;=PLE.Medicao)*OFFSET(CÁLCULO!$AB$15:$AL$15,$A18,0,$B18)*OFFSET(ORÇAMENTO!$AA$15,$A18,0,$B18)/(OFFSET(ORÇAMENTO!$X$15,$A18,0,$B18)+10^-12))+IF(AUTOEVENTO="Manual",SUMPRODUCT((OFFSET(CÁLCULO!$M$15,$A18,0,$B18)=1)*OFFSET(ORÇAMENTO!$AA$15,$A18,0,$B18)*PLE!$AE$9),0))</f>
        <v>0</v>
      </c>
      <c r="AG18" s="266" t="n">
        <f aca="true" t="array" ref="AG18:AG18">IF(ACOMPANHAMENTO&lt;&gt;"PLE",0,SUMPRODUCT((OFFSET(CÁLCULO!$AX$15:$BH$15,$A18,0,$B18)&lt;=PLE.Medicao)*OFFSET(CÁLCULO!$AB$15:$AL$15,$A18,0,$B18)*OFFSET(ORÇAMENTO!$AB$15,$A18,0,$B18)/(OFFSET(ORÇAMENTO!$X$15,$A18,0,$B18)+10^-12))+IF(AUTOEVENTO="Manual",SUMPRODUCT((OFFSET(CÁLCULO!$M$15,$A18,0,$B18)=1)*OFFSET(ORÇAMENTO!$AB$15,$A18,0,$B18)*PLE!$AE$9),0))</f>
        <v>0</v>
      </c>
      <c r="AH18" s="266" t="n">
        <f aca="true">ROUND(IF(ACOMPANHAMENTO&lt;&gt;"PLE",0,SUMIF(OFFSET(CÁLCULO!$AX$15:$BH$15,$A18,0,$B18),"&lt;="&amp;PLE.Medicao,OFFSET(CÁLCULO!$AB$15:$AL$15,$A18,0,$B18))+IF(AdmLocal="Automática",SUMIF(OFFSET(CÁLCULO!$M$15,$A18,0,$B18),1,OFFSET(ORÇAMENTO!$X$15,$A18,0,$B18))*PLE!$AE$9,0)),2)</f>
        <v>0</v>
      </c>
      <c r="AJ18" s="266" t="e">
        <f aca="true" t="array" ref="AJ18:AJ18">IF(ACOMPANHAMENTO&lt;&gt;"BM",0,SUMPRODUCT(OFFSET(BM!$M$15,$A18,0,$B18)*(OFFSET(BM!$A$15,$A18,0,$B18)="S")*OFFSET(ORÇAMENTO!AA$15,$A18,0,$B18)/(OFFSET(ORÇAMENTO!$X$15,$A18,0,$B18)+10^-12)))</f>
        <v>#N/A</v>
      </c>
      <c r="AK18" s="266" t="e">
        <f aca="true" t="array" ref="AK18:AK18">IF(ACOMPANHAMENTO&lt;&gt;"BM",0,SUMPRODUCT(OFFSET(BM!$M$15,$A18,0,$B18)*(OFFSET(BM!$A$15,$A18,0,$B18)="S")*OFFSET(ORÇAMENTO!AB$15,$A18,0,$B18)/(OFFSET(ORÇAMENTO!$X$15,$A18,0,$B18)+10^-12)))</f>
        <v>#N/A</v>
      </c>
      <c r="AL18" s="266" t="e">
        <f aca="true">IF(ACOMPANHAMENTO&lt;&gt;"BM",0,OFFSET(BM!$M$15,$A18,0))</f>
        <v>#N/A</v>
      </c>
      <c r="AM18" s="266" t="e">
        <f aca="true" t="array" ref="AM18:AM18">IF(ACOMPANHAMENTO&lt;&gt;"BM",0,SUMPRODUCT(OFFSET(BM!$O$15,$A18,0,$B18)*(OFFSET(BM!$A$15,$A18,0,$B18)="S")*OFFSET(ORÇAMENTO!AA$15,$A18,0,$B18)/(OFFSET(ORÇAMENTO!$X$15,$A18,0,$B18)+10^-12)))</f>
        <v>#N/A</v>
      </c>
      <c r="AN18" s="266" t="e">
        <f aca="true" t="array" ref="AN18:AN18">IF(ACOMPANHAMENTO&lt;&gt;"BM",0,SUMPRODUCT(OFFSET(BM!$O$15,$A18,0,$B18)*(OFFSET(BM!$A$15,$A18,0,$B18)="S")*OFFSET(ORÇAMENTO!AB$15,$A18,0,$B18)/(OFFSET(ORÇAMENTO!$X$15,$A18,0,$B18)+10^-12)))</f>
        <v>#N/A</v>
      </c>
      <c r="AO18" s="266" t="e">
        <f aca="true">IF(ACOMPANHAMENTO&lt;&gt;"BM",0,OFFSET(BM!$O$15,$A18,0))</f>
        <v>#N/A</v>
      </c>
    </row>
    <row r="19" customFormat="false" ht="30" hidden="false" customHeight="true" outlineLevel="0" collapsed="false">
      <c r="A19" s="0" t="e">
        <f aca="false">MATCH(E19,ORÇAMENTO!$E$15:$E$59,0)-1</f>
        <v>#N/A</v>
      </c>
      <c r="B19" s="0" t="e">
        <f aca="true">IF(ISERROR($A19),NA(),OFFSET(ORÇAMENTO!$D$15,$A19,0))</f>
        <v>#N/A</v>
      </c>
      <c r="C19" s="0" t="str">
        <f aca="false">QCI!B19</f>
        <v>Branco</v>
      </c>
      <c r="D19" s="0" t="str">
        <f aca="false">IF(L19&gt;0,"F","")</f>
        <v/>
      </c>
      <c r="E19" s="538" t="n">
        <f aca="false">QCI!D19</f>
        <v>6</v>
      </c>
      <c r="F19" s="693" t="str">
        <f aca="false">QCI!G19</f>
        <v/>
      </c>
      <c r="G19" s="694" t="n">
        <f aca="false">QCI!H19</f>
        <v>0</v>
      </c>
      <c r="H19" s="541" t="n">
        <f aca="false">QCI!I19</f>
        <v>0</v>
      </c>
      <c r="I19" s="541" t="str">
        <f aca="false">QCI!J19</f>
        <v/>
      </c>
      <c r="J19" s="695" t="str">
        <f aca="false">QCI!K19</f>
        <v/>
      </c>
      <c r="K19" s="696" t="str">
        <f aca="true" t="array" ref="K19:K19">IF($C19="Automático",IF(ACOMPANHAMENTO="BM",BM.medicao,PLE.Medicao),IF(ISBLANK($X19),"",$X19))</f>
        <v/>
      </c>
      <c r="L19" s="546" t="n">
        <f aca="false">QCI!$O19</f>
        <v>0</v>
      </c>
      <c r="M19" s="543" t="n">
        <f aca="false">ROUND(IF(C19="Automático",AE19+AL19,Y19),2)</f>
        <v>0</v>
      </c>
      <c r="N19" s="544" t="n">
        <f aca="false">O19-M19</f>
        <v>0</v>
      </c>
      <c r="O19" s="545" t="n">
        <f aca="false">ROUND(IF(C19="Automático",AH19+AO19,Z19),2)</f>
        <v>0</v>
      </c>
      <c r="P19" s="697" t="n">
        <f aca="false">O19/(L19+10^-12)</f>
        <v>0</v>
      </c>
      <c r="R19" s="698" t="n">
        <f aca="false">ROUND(IF($C19="Automático",AC19+AJ19,$Y19*IF(ISERROR(QCI!$AA19/QCI!$O19),0,QCI!$AA19/QCI!$O19)),2)</f>
        <v>0</v>
      </c>
      <c r="S19" s="698" t="n">
        <f aca="false">ROUND(IF($C19="Automático",AD19+AK19,$Y19*IF(ISERROR(QCI!$AB19/QCI!$O19),0,QCI!$AB19/QCI!$O19)),2)</f>
        <v>0</v>
      </c>
      <c r="T19" s="698" t="n">
        <f aca="false">ROUND(IF($C19="Automático",AF19+AM19,$Z19*IF(ISERROR(QCI!$AA19/QCI!$O19),0,QCI!$AA19/QCI!$O19)),2)</f>
        <v>0</v>
      </c>
      <c r="U19" s="698" t="n">
        <f aca="false">ROUND(IF($C19="Automático",AG19+AN19,$Z19*IF(ISERROR(QCI!$AB19/QCI!$O19),0,QCI!$AB19/QCI!$O19)),2)</f>
        <v>0</v>
      </c>
      <c r="V19" s="98" t="n">
        <f aca="true">IF(AND($L19&gt;0,$J19&lt;&gt;0,$J19&lt;&gt;"",COUNTIF($J$13:$J19,$J19)=1),OFFSET(V19,-1,0)+1,OFFSET(V19,-1,0))</f>
        <v>0</v>
      </c>
      <c r="X19" s="699"/>
      <c r="Y19" s="700"/>
      <c r="Z19" s="701"/>
      <c r="AC19" s="266" t="n">
        <f aca="true" t="array" ref="AC19:AC19">IF(ACOMPANHAMENTO&lt;&gt;"PLE",0,SUMPRODUCT((OFFSET(CÁLCULO!$AX$15:$BH$15,$A19,0,$B19)&lt;=(PLE.Medicao-1))*OFFSET(CÁLCULO!$AB$15:$AL$15,$A19,0,$B19)*OFFSET(ORÇAMENTO!$AA$15,$A19,0,$B19)/(OFFSET(ORÇAMENTO!$X$15,$A19,0,$B19)+10^-12))+IF(AUTOEVENTO="Manual",SUMPRODUCT((OFFSET(CÁLCULO!$M$15,$A19,0,$B19)=1)*OFFSET(ORÇAMENTO!$AA$15,$A19,0,$B19)*(PLE!$AE$9-PLE!$Y$9)),0))</f>
        <v>0</v>
      </c>
      <c r="AD19" s="266" t="n">
        <f aca="true" t="array" ref="AD19:AD19">IF(ACOMPANHAMENTO&lt;&gt;"PLE",0,SUMPRODUCT((OFFSET(CÁLCULO!$AX$15:$BH$15,$A19,0,$B19)&lt;=(PLE.Medicao-1))*OFFSET(CÁLCULO!$AB$15:$AL$15,$A19,0,$B19)*OFFSET(ORÇAMENTO!$AB$15,$A19,0,$B19)/(OFFSET(ORÇAMENTO!$X$15,$A19,0,$B19)+10^-12))+IF(AUTOEVENTO="Manual",SUMPRODUCT((OFFSET(CÁLCULO!$M$15,$A19,0,$B19)=1)*OFFSET(ORÇAMENTO!$AB$15,$A19,0,$B19)*(PLE!$AE$9-PLE!$Y$9)),0))</f>
        <v>0</v>
      </c>
      <c r="AE19" s="266" t="n">
        <f aca="true">ROUND(
            IF(ACOMPANHAMENTO&lt;&gt;"PLE",0,
                      SUMIF(OFFSET(CÁLCULO!$AX$15:$BH$15,$A19,0,$B19),"&lt;="&amp;(PLE.Medicao-1),OFFSET(CÁLCULO!$AB$15:$AL$15,$A19,0,$B19))
                      +IF(AdmLocal="Automática",
                              SUMIF(OFFSET(CÁLCULO!$M$15,$A19,0,$B19),1,OFFSET(ORÇAMENTO!$X$15,$A19,0,$B19))*(PLE!$AE$9-PLE!$Y$9),
                              0)),
            2)</f>
        <v>0</v>
      </c>
      <c r="AF19" s="266" t="n">
        <f aca="true" t="array" ref="AF19:AF19">IF(ACOMPANHAMENTO&lt;&gt;"PLE",0,SUMPRODUCT((OFFSET(CÁLCULO!$AX$15:$BH$15,$A19,0,$B19)&lt;=PLE.Medicao)*OFFSET(CÁLCULO!$AB$15:$AL$15,$A19,0,$B19)*OFFSET(ORÇAMENTO!$AA$15,$A19,0,$B19)/(OFFSET(ORÇAMENTO!$X$15,$A19,0,$B19)+10^-12))+IF(AUTOEVENTO="Manual",SUMPRODUCT((OFFSET(CÁLCULO!$M$15,$A19,0,$B19)=1)*OFFSET(ORÇAMENTO!$AA$15,$A19,0,$B19)*PLE!$AE$9),0))</f>
        <v>0</v>
      </c>
      <c r="AG19" s="266" t="n">
        <f aca="true" t="array" ref="AG19:AG19">IF(ACOMPANHAMENTO&lt;&gt;"PLE",0,SUMPRODUCT((OFFSET(CÁLCULO!$AX$15:$BH$15,$A19,0,$B19)&lt;=PLE.Medicao)*OFFSET(CÁLCULO!$AB$15:$AL$15,$A19,0,$B19)*OFFSET(ORÇAMENTO!$AB$15,$A19,0,$B19)/(OFFSET(ORÇAMENTO!$X$15,$A19,0,$B19)+10^-12))+IF(AUTOEVENTO="Manual",SUMPRODUCT((OFFSET(CÁLCULO!$M$15,$A19,0,$B19)=1)*OFFSET(ORÇAMENTO!$AB$15,$A19,0,$B19)*PLE!$AE$9),0))</f>
        <v>0</v>
      </c>
      <c r="AH19" s="266" t="n">
        <f aca="true">ROUND(IF(ACOMPANHAMENTO&lt;&gt;"PLE",0,SUMIF(OFFSET(CÁLCULO!$AX$15:$BH$15,$A19,0,$B19),"&lt;="&amp;PLE.Medicao,OFFSET(CÁLCULO!$AB$15:$AL$15,$A19,0,$B19))+IF(AdmLocal="Automática",SUMIF(OFFSET(CÁLCULO!$M$15,$A19,0,$B19),1,OFFSET(ORÇAMENTO!$X$15,$A19,0,$B19))*PLE!$AE$9,0)),2)</f>
        <v>0</v>
      </c>
      <c r="AJ19" s="266" t="e">
        <f aca="true" t="array" ref="AJ19:AJ19">IF(ACOMPANHAMENTO&lt;&gt;"BM",0,SUMPRODUCT(OFFSET(BM!$M$15,$A19,0,$B19)*(OFFSET(BM!$A$15,$A19,0,$B19)="S")*OFFSET(ORÇAMENTO!AA$15,$A19,0,$B19)/(OFFSET(ORÇAMENTO!$X$15,$A19,0,$B19)+10^-12)))</f>
        <v>#N/A</v>
      </c>
      <c r="AK19" s="266" t="e">
        <f aca="true" t="array" ref="AK19:AK19">IF(ACOMPANHAMENTO&lt;&gt;"BM",0,SUMPRODUCT(OFFSET(BM!$M$15,$A19,0,$B19)*(OFFSET(BM!$A$15,$A19,0,$B19)="S")*OFFSET(ORÇAMENTO!AB$15,$A19,0,$B19)/(OFFSET(ORÇAMENTO!$X$15,$A19,0,$B19)+10^-12)))</f>
        <v>#N/A</v>
      </c>
      <c r="AL19" s="266" t="e">
        <f aca="true">IF(ACOMPANHAMENTO&lt;&gt;"BM",0,OFFSET(BM!$M$15,$A19,0))</f>
        <v>#N/A</v>
      </c>
      <c r="AM19" s="266" t="e">
        <f aca="true" t="array" ref="AM19:AM19">IF(ACOMPANHAMENTO&lt;&gt;"BM",0,SUMPRODUCT(OFFSET(BM!$O$15,$A19,0,$B19)*(OFFSET(BM!$A$15,$A19,0,$B19)="S")*OFFSET(ORÇAMENTO!AA$15,$A19,0,$B19)/(OFFSET(ORÇAMENTO!$X$15,$A19,0,$B19)+10^-12)))</f>
        <v>#N/A</v>
      </c>
      <c r="AN19" s="266" t="e">
        <f aca="true" t="array" ref="AN19:AN19">IF(ACOMPANHAMENTO&lt;&gt;"BM",0,SUMPRODUCT(OFFSET(BM!$O$15,$A19,0,$B19)*(OFFSET(BM!$A$15,$A19,0,$B19)="S")*OFFSET(ORÇAMENTO!AB$15,$A19,0,$B19)/(OFFSET(ORÇAMENTO!$X$15,$A19,0,$B19)+10^-12)))</f>
        <v>#N/A</v>
      </c>
      <c r="AO19" s="266" t="e">
        <f aca="true">IF(ACOMPANHAMENTO&lt;&gt;"BM",0,OFFSET(BM!$O$15,$A19,0))</f>
        <v>#N/A</v>
      </c>
    </row>
    <row r="20" customFormat="false" ht="30" hidden="false" customHeight="true" outlineLevel="0" collapsed="false">
      <c r="A20" s="0" t="e">
        <f aca="false">MATCH(E20,ORÇAMENTO!$E$15:$E$59,0)-1</f>
        <v>#N/A</v>
      </c>
      <c r="B20" s="0" t="e">
        <f aca="true">IF(ISERROR($A20),NA(),OFFSET(ORÇAMENTO!$D$15,$A20,0))</f>
        <v>#N/A</v>
      </c>
      <c r="C20" s="0" t="str">
        <f aca="false">QCI!B20</f>
        <v>Branco</v>
      </c>
      <c r="D20" s="0" t="str">
        <f aca="false">IF(L20&gt;0,"F","")</f>
        <v/>
      </c>
      <c r="E20" s="538" t="n">
        <f aca="false">QCI!D20</f>
        <v>7</v>
      </c>
      <c r="F20" s="693" t="str">
        <f aca="false">QCI!G20</f>
        <v/>
      </c>
      <c r="G20" s="694" t="n">
        <f aca="false">QCI!H20</f>
        <v>0</v>
      </c>
      <c r="H20" s="541" t="n">
        <f aca="false">QCI!I20</f>
        <v>0</v>
      </c>
      <c r="I20" s="541" t="str">
        <f aca="false">QCI!J20</f>
        <v/>
      </c>
      <c r="J20" s="695" t="str">
        <f aca="false">QCI!K20</f>
        <v/>
      </c>
      <c r="K20" s="696" t="str">
        <f aca="true" t="array" ref="K20:K20">IF($C20="Automático",IF(ACOMPANHAMENTO="BM",BM.medicao,PLE.Medicao),IF(ISBLANK($X20),"",$X20))</f>
        <v/>
      </c>
      <c r="L20" s="546" t="n">
        <f aca="false">QCI!$O20</f>
        <v>0</v>
      </c>
      <c r="M20" s="543" t="n">
        <f aca="false">ROUND(IF(C20="Automático",AE20+AL20,Y20),2)</f>
        <v>0</v>
      </c>
      <c r="N20" s="544" t="n">
        <f aca="false">O20-M20</f>
        <v>0</v>
      </c>
      <c r="O20" s="545" t="n">
        <f aca="false">ROUND(IF(C20="Automático",AH20+AO20,Z20),2)</f>
        <v>0</v>
      </c>
      <c r="P20" s="697" t="n">
        <f aca="false">O20/(L20+10^-12)</f>
        <v>0</v>
      </c>
      <c r="R20" s="698" t="n">
        <f aca="false">ROUND(IF($C20="Automático",AC20+AJ20,$Y20*IF(ISERROR(QCI!$AA20/QCI!$O20),0,QCI!$AA20/QCI!$O20)),2)</f>
        <v>0</v>
      </c>
      <c r="S20" s="698" t="n">
        <f aca="false">ROUND(IF($C20="Automático",AD20+AK20,$Y20*IF(ISERROR(QCI!$AB20/QCI!$O20),0,QCI!$AB20/QCI!$O20)),2)</f>
        <v>0</v>
      </c>
      <c r="T20" s="698" t="n">
        <f aca="false">ROUND(IF($C20="Automático",AF20+AM20,$Z20*IF(ISERROR(QCI!$AA20/QCI!$O20),0,QCI!$AA20/QCI!$O20)),2)</f>
        <v>0</v>
      </c>
      <c r="U20" s="698" t="n">
        <f aca="false">ROUND(IF($C20="Automático",AG20+AN20,$Z20*IF(ISERROR(QCI!$AB20/QCI!$O20),0,QCI!$AB20/QCI!$O20)),2)</f>
        <v>0</v>
      </c>
      <c r="V20" s="98" t="n">
        <f aca="true">IF(AND($L20&gt;0,$J20&lt;&gt;0,$J20&lt;&gt;"",COUNTIF($J$13:$J20,$J20)=1),OFFSET(V20,-1,0)+1,OFFSET(V20,-1,0))</f>
        <v>0</v>
      </c>
      <c r="X20" s="699"/>
      <c r="Y20" s="700"/>
      <c r="Z20" s="701"/>
      <c r="AC20" s="266" t="n">
        <f aca="true" t="array" ref="AC20:AC20">IF(ACOMPANHAMENTO&lt;&gt;"PLE",0,SUMPRODUCT((OFFSET(CÁLCULO!$AX$15:$BH$15,$A20,0,$B20)&lt;=(PLE.Medicao-1))*OFFSET(CÁLCULO!$AB$15:$AL$15,$A20,0,$B20)*OFFSET(ORÇAMENTO!$AA$15,$A20,0,$B20)/(OFFSET(ORÇAMENTO!$X$15,$A20,0,$B20)+10^-12))+IF(AUTOEVENTO="Manual",SUMPRODUCT((OFFSET(CÁLCULO!$M$15,$A20,0,$B20)=1)*OFFSET(ORÇAMENTO!$AA$15,$A20,0,$B20)*(PLE!$AE$9-PLE!$Y$9)),0))</f>
        <v>0</v>
      </c>
      <c r="AD20" s="266" t="n">
        <f aca="true" t="array" ref="AD20:AD20">IF(ACOMPANHAMENTO&lt;&gt;"PLE",0,SUMPRODUCT((OFFSET(CÁLCULO!$AX$15:$BH$15,$A20,0,$B20)&lt;=(PLE.Medicao-1))*OFFSET(CÁLCULO!$AB$15:$AL$15,$A20,0,$B20)*OFFSET(ORÇAMENTO!$AB$15,$A20,0,$B20)/(OFFSET(ORÇAMENTO!$X$15,$A20,0,$B20)+10^-12))+IF(AUTOEVENTO="Manual",SUMPRODUCT((OFFSET(CÁLCULO!$M$15,$A20,0,$B20)=1)*OFFSET(ORÇAMENTO!$AB$15,$A20,0,$B20)*(PLE!$AE$9-PLE!$Y$9)),0))</f>
        <v>0</v>
      </c>
      <c r="AE20" s="266" t="n">
        <f aca="true">ROUND(
            IF(ACOMPANHAMENTO&lt;&gt;"PLE",0,
                      SUMIF(OFFSET(CÁLCULO!$AX$15:$BH$15,$A20,0,$B20),"&lt;="&amp;(PLE.Medicao-1),OFFSET(CÁLCULO!$AB$15:$AL$15,$A20,0,$B20))
                      +IF(AdmLocal="Automática",
                              SUMIF(OFFSET(CÁLCULO!$M$15,$A20,0,$B20),1,OFFSET(ORÇAMENTO!$X$15,$A20,0,$B20))*(PLE!$AE$9-PLE!$Y$9),
                              0)),
            2)</f>
        <v>0</v>
      </c>
      <c r="AF20" s="266" t="n">
        <f aca="true" t="array" ref="AF20:AF20">IF(ACOMPANHAMENTO&lt;&gt;"PLE",0,SUMPRODUCT((OFFSET(CÁLCULO!$AX$15:$BH$15,$A20,0,$B20)&lt;=PLE.Medicao)*OFFSET(CÁLCULO!$AB$15:$AL$15,$A20,0,$B20)*OFFSET(ORÇAMENTO!$AA$15,$A20,0,$B20)/(OFFSET(ORÇAMENTO!$X$15,$A20,0,$B20)+10^-12))+IF(AUTOEVENTO="Manual",SUMPRODUCT((OFFSET(CÁLCULO!$M$15,$A20,0,$B20)=1)*OFFSET(ORÇAMENTO!$AA$15,$A20,0,$B20)*PLE!$AE$9),0))</f>
        <v>0</v>
      </c>
      <c r="AG20" s="266" t="n">
        <f aca="true" t="array" ref="AG20:AG20">IF(ACOMPANHAMENTO&lt;&gt;"PLE",0,SUMPRODUCT((OFFSET(CÁLCULO!$AX$15:$BH$15,$A20,0,$B20)&lt;=PLE.Medicao)*OFFSET(CÁLCULO!$AB$15:$AL$15,$A20,0,$B20)*OFFSET(ORÇAMENTO!$AB$15,$A20,0,$B20)/(OFFSET(ORÇAMENTO!$X$15,$A20,0,$B20)+10^-12))+IF(AUTOEVENTO="Manual",SUMPRODUCT((OFFSET(CÁLCULO!$M$15,$A20,0,$B20)=1)*OFFSET(ORÇAMENTO!$AB$15,$A20,0,$B20)*PLE!$AE$9),0))</f>
        <v>0</v>
      </c>
      <c r="AH20" s="266" t="n">
        <f aca="true">ROUND(IF(ACOMPANHAMENTO&lt;&gt;"PLE",0,SUMIF(OFFSET(CÁLCULO!$AX$15:$BH$15,$A20,0,$B20),"&lt;="&amp;PLE.Medicao,OFFSET(CÁLCULO!$AB$15:$AL$15,$A20,0,$B20))+IF(AdmLocal="Automática",SUMIF(OFFSET(CÁLCULO!$M$15,$A20,0,$B20),1,OFFSET(ORÇAMENTO!$X$15,$A20,0,$B20))*PLE!$AE$9,0)),2)</f>
        <v>0</v>
      </c>
      <c r="AJ20" s="266" t="e">
        <f aca="true" t="array" ref="AJ20:AJ20">IF(ACOMPANHAMENTO&lt;&gt;"BM",0,SUMPRODUCT(OFFSET(BM!$M$15,$A20,0,$B20)*(OFFSET(BM!$A$15,$A20,0,$B20)="S")*OFFSET(ORÇAMENTO!AA$15,$A20,0,$B20)/(OFFSET(ORÇAMENTO!$X$15,$A20,0,$B20)+10^-12)))</f>
        <v>#N/A</v>
      </c>
      <c r="AK20" s="266" t="e">
        <f aca="true" t="array" ref="AK20:AK20">IF(ACOMPANHAMENTO&lt;&gt;"BM",0,SUMPRODUCT(OFFSET(BM!$M$15,$A20,0,$B20)*(OFFSET(BM!$A$15,$A20,0,$B20)="S")*OFFSET(ORÇAMENTO!AB$15,$A20,0,$B20)/(OFFSET(ORÇAMENTO!$X$15,$A20,0,$B20)+10^-12)))</f>
        <v>#N/A</v>
      </c>
      <c r="AL20" s="266" t="e">
        <f aca="true">IF(ACOMPANHAMENTO&lt;&gt;"BM",0,OFFSET(BM!$M$15,$A20,0))</f>
        <v>#N/A</v>
      </c>
      <c r="AM20" s="266" t="e">
        <f aca="true" t="array" ref="AM20:AM20">IF(ACOMPANHAMENTO&lt;&gt;"BM",0,SUMPRODUCT(OFFSET(BM!$O$15,$A20,0,$B20)*(OFFSET(BM!$A$15,$A20,0,$B20)="S")*OFFSET(ORÇAMENTO!AA$15,$A20,0,$B20)/(OFFSET(ORÇAMENTO!$X$15,$A20,0,$B20)+10^-12)))</f>
        <v>#N/A</v>
      </c>
      <c r="AN20" s="266" t="e">
        <f aca="true" t="array" ref="AN20:AN20">IF(ACOMPANHAMENTO&lt;&gt;"BM",0,SUMPRODUCT(OFFSET(BM!$O$15,$A20,0,$B20)*(OFFSET(BM!$A$15,$A20,0,$B20)="S")*OFFSET(ORÇAMENTO!AB$15,$A20,0,$B20)/(OFFSET(ORÇAMENTO!$X$15,$A20,0,$B20)+10^-12)))</f>
        <v>#N/A</v>
      </c>
      <c r="AO20" s="266" t="e">
        <f aca="true">IF(ACOMPANHAMENTO&lt;&gt;"BM",0,OFFSET(BM!$O$15,$A20,0))</f>
        <v>#N/A</v>
      </c>
    </row>
    <row r="21" customFormat="false" ht="30" hidden="false" customHeight="true" outlineLevel="0" collapsed="false">
      <c r="A21" s="0" t="e">
        <f aca="false">MATCH(E21,ORÇAMENTO!$E$15:$E$59,0)-1</f>
        <v>#N/A</v>
      </c>
      <c r="B21" s="0" t="e">
        <f aca="true">IF(ISERROR($A21),NA(),OFFSET(ORÇAMENTO!$D$15,$A21,0))</f>
        <v>#N/A</v>
      </c>
      <c r="C21" s="0" t="str">
        <f aca="false">QCI!B21</f>
        <v>Branco</v>
      </c>
      <c r="D21" s="0" t="str">
        <f aca="false">IF(L21&gt;0,"F","")</f>
        <v/>
      </c>
      <c r="E21" s="538" t="n">
        <f aca="false">QCI!D21</f>
        <v>8</v>
      </c>
      <c r="F21" s="693" t="str">
        <f aca="false">QCI!G21</f>
        <v/>
      </c>
      <c r="G21" s="694" t="n">
        <f aca="false">QCI!H21</f>
        <v>0</v>
      </c>
      <c r="H21" s="541" t="n">
        <f aca="false">QCI!I21</f>
        <v>0</v>
      </c>
      <c r="I21" s="541" t="str">
        <f aca="false">QCI!J21</f>
        <v/>
      </c>
      <c r="J21" s="695" t="str">
        <f aca="false">QCI!K21</f>
        <v/>
      </c>
      <c r="K21" s="696" t="str">
        <f aca="true" t="array" ref="K21:K21">IF($C21="Automático",IF(ACOMPANHAMENTO="BM",BM.medicao,PLE.Medicao),IF(ISBLANK($X21),"",$X21))</f>
        <v/>
      </c>
      <c r="L21" s="546" t="n">
        <f aca="false">QCI!$O21</f>
        <v>0</v>
      </c>
      <c r="M21" s="543" t="n">
        <f aca="false">ROUND(IF(C21="Automático",AE21+AL21,Y21),2)</f>
        <v>0</v>
      </c>
      <c r="N21" s="544" t="n">
        <f aca="false">O21-M21</f>
        <v>0</v>
      </c>
      <c r="O21" s="545" t="n">
        <f aca="false">ROUND(IF(C21="Automático",AH21+AO21,Z21),2)</f>
        <v>0</v>
      </c>
      <c r="P21" s="697" t="n">
        <f aca="false">O21/(L21+10^-12)</f>
        <v>0</v>
      </c>
      <c r="R21" s="698" t="n">
        <f aca="false">ROUND(IF($C21="Automático",AC21+AJ21,$Y21*IF(ISERROR(QCI!$AA21/QCI!$O21),0,QCI!$AA21/QCI!$O21)),2)</f>
        <v>0</v>
      </c>
      <c r="S21" s="698" t="n">
        <f aca="false">ROUND(IF($C21="Automático",AD21+AK21,$Y21*IF(ISERROR(QCI!$AB21/QCI!$O21),0,QCI!$AB21/QCI!$O21)),2)</f>
        <v>0</v>
      </c>
      <c r="T21" s="698" t="n">
        <f aca="false">ROUND(IF($C21="Automático",AF21+AM21,$Z21*IF(ISERROR(QCI!$AA21/QCI!$O21),0,QCI!$AA21/QCI!$O21)),2)</f>
        <v>0</v>
      </c>
      <c r="U21" s="698" t="n">
        <f aca="false">ROUND(IF($C21="Automático",AG21+AN21,$Z21*IF(ISERROR(QCI!$AB21/QCI!$O21),0,QCI!$AB21/QCI!$O21)),2)</f>
        <v>0</v>
      </c>
      <c r="V21" s="98" t="n">
        <f aca="true">IF(AND($L21&gt;0,$J21&lt;&gt;0,$J21&lt;&gt;"",COUNTIF($J$13:$J21,$J21)=1),OFFSET(V21,-1,0)+1,OFFSET(V21,-1,0))</f>
        <v>0</v>
      </c>
      <c r="X21" s="699"/>
      <c r="Y21" s="700"/>
      <c r="Z21" s="701"/>
      <c r="AC21" s="266" t="n">
        <f aca="true" t="array" ref="AC21:AC21">IF(ACOMPANHAMENTO&lt;&gt;"PLE",0,SUMPRODUCT((OFFSET(CÁLCULO!$AX$15:$BH$15,$A21,0,$B21)&lt;=(PLE.Medicao-1))*OFFSET(CÁLCULO!$AB$15:$AL$15,$A21,0,$B21)*OFFSET(ORÇAMENTO!$AA$15,$A21,0,$B21)/(OFFSET(ORÇAMENTO!$X$15,$A21,0,$B21)+10^-12))+IF(AUTOEVENTO="Manual",SUMPRODUCT((OFFSET(CÁLCULO!$M$15,$A21,0,$B21)=1)*OFFSET(ORÇAMENTO!$AA$15,$A21,0,$B21)*(PLE!$AE$9-PLE!$Y$9)),0))</f>
        <v>0</v>
      </c>
      <c r="AD21" s="266" t="n">
        <f aca="true" t="array" ref="AD21:AD21">IF(ACOMPANHAMENTO&lt;&gt;"PLE",0,SUMPRODUCT((OFFSET(CÁLCULO!$AX$15:$BH$15,$A21,0,$B21)&lt;=(PLE.Medicao-1))*OFFSET(CÁLCULO!$AB$15:$AL$15,$A21,0,$B21)*OFFSET(ORÇAMENTO!$AB$15,$A21,0,$B21)/(OFFSET(ORÇAMENTO!$X$15,$A21,0,$B21)+10^-12))+IF(AUTOEVENTO="Manual",SUMPRODUCT((OFFSET(CÁLCULO!$M$15,$A21,0,$B21)=1)*OFFSET(ORÇAMENTO!$AB$15,$A21,0,$B21)*(PLE!$AE$9-PLE!$Y$9)),0))</f>
        <v>0</v>
      </c>
      <c r="AE21" s="266" t="n">
        <f aca="true">ROUND(
            IF(ACOMPANHAMENTO&lt;&gt;"PLE",0,
                      SUMIF(OFFSET(CÁLCULO!$AX$15:$BH$15,$A21,0,$B21),"&lt;="&amp;(PLE.Medicao-1),OFFSET(CÁLCULO!$AB$15:$AL$15,$A21,0,$B21))
                      +IF(AdmLocal="Automática",
                              SUMIF(OFFSET(CÁLCULO!$M$15,$A21,0,$B21),1,OFFSET(ORÇAMENTO!$X$15,$A21,0,$B21))*(PLE!$AE$9-PLE!$Y$9),
                              0)),
            2)</f>
        <v>0</v>
      </c>
      <c r="AF21" s="266" t="n">
        <f aca="true" t="array" ref="AF21:AF21">IF(ACOMPANHAMENTO&lt;&gt;"PLE",0,SUMPRODUCT((OFFSET(CÁLCULO!$AX$15:$BH$15,$A21,0,$B21)&lt;=PLE.Medicao)*OFFSET(CÁLCULO!$AB$15:$AL$15,$A21,0,$B21)*OFFSET(ORÇAMENTO!$AA$15,$A21,0,$B21)/(OFFSET(ORÇAMENTO!$X$15,$A21,0,$B21)+10^-12))+IF(AUTOEVENTO="Manual",SUMPRODUCT((OFFSET(CÁLCULO!$M$15,$A21,0,$B21)=1)*OFFSET(ORÇAMENTO!$AA$15,$A21,0,$B21)*PLE!$AE$9),0))</f>
        <v>0</v>
      </c>
      <c r="AG21" s="266" t="n">
        <f aca="true" t="array" ref="AG21:AG21">IF(ACOMPANHAMENTO&lt;&gt;"PLE",0,SUMPRODUCT((OFFSET(CÁLCULO!$AX$15:$BH$15,$A21,0,$B21)&lt;=PLE.Medicao)*OFFSET(CÁLCULO!$AB$15:$AL$15,$A21,0,$B21)*OFFSET(ORÇAMENTO!$AB$15,$A21,0,$B21)/(OFFSET(ORÇAMENTO!$X$15,$A21,0,$B21)+10^-12))+IF(AUTOEVENTO="Manual",SUMPRODUCT((OFFSET(CÁLCULO!$M$15,$A21,0,$B21)=1)*OFFSET(ORÇAMENTO!$AB$15,$A21,0,$B21)*PLE!$AE$9),0))</f>
        <v>0</v>
      </c>
      <c r="AH21" s="266" t="n">
        <f aca="true">ROUND(IF(ACOMPANHAMENTO&lt;&gt;"PLE",0,SUMIF(OFFSET(CÁLCULO!$AX$15:$BH$15,$A21,0,$B21),"&lt;="&amp;PLE.Medicao,OFFSET(CÁLCULO!$AB$15:$AL$15,$A21,0,$B21))+IF(AdmLocal="Automática",SUMIF(OFFSET(CÁLCULO!$M$15,$A21,0,$B21),1,OFFSET(ORÇAMENTO!$X$15,$A21,0,$B21))*PLE!$AE$9,0)),2)</f>
        <v>0</v>
      </c>
      <c r="AJ21" s="266" t="e">
        <f aca="true" t="array" ref="AJ21:AJ21">IF(ACOMPANHAMENTO&lt;&gt;"BM",0,SUMPRODUCT(OFFSET(BM!$M$15,$A21,0,$B21)*(OFFSET(BM!$A$15,$A21,0,$B21)="S")*OFFSET(ORÇAMENTO!AA$15,$A21,0,$B21)/(OFFSET(ORÇAMENTO!$X$15,$A21,0,$B21)+10^-12)))</f>
        <v>#N/A</v>
      </c>
      <c r="AK21" s="266" t="e">
        <f aca="true" t="array" ref="AK21:AK21">IF(ACOMPANHAMENTO&lt;&gt;"BM",0,SUMPRODUCT(OFFSET(BM!$M$15,$A21,0,$B21)*(OFFSET(BM!$A$15,$A21,0,$B21)="S")*OFFSET(ORÇAMENTO!AB$15,$A21,0,$B21)/(OFFSET(ORÇAMENTO!$X$15,$A21,0,$B21)+10^-12)))</f>
        <v>#N/A</v>
      </c>
      <c r="AL21" s="266" t="e">
        <f aca="true">IF(ACOMPANHAMENTO&lt;&gt;"BM",0,OFFSET(BM!$M$15,$A21,0))</f>
        <v>#N/A</v>
      </c>
      <c r="AM21" s="266" t="e">
        <f aca="true" t="array" ref="AM21:AM21">IF(ACOMPANHAMENTO&lt;&gt;"BM",0,SUMPRODUCT(OFFSET(BM!$O$15,$A21,0,$B21)*(OFFSET(BM!$A$15,$A21,0,$B21)="S")*OFFSET(ORÇAMENTO!AA$15,$A21,0,$B21)/(OFFSET(ORÇAMENTO!$X$15,$A21,0,$B21)+10^-12)))</f>
        <v>#N/A</v>
      </c>
      <c r="AN21" s="266" t="e">
        <f aca="true" t="array" ref="AN21:AN21">IF(ACOMPANHAMENTO&lt;&gt;"BM",0,SUMPRODUCT(OFFSET(BM!$O$15,$A21,0,$B21)*(OFFSET(BM!$A$15,$A21,0,$B21)="S")*OFFSET(ORÇAMENTO!AB$15,$A21,0,$B21)/(OFFSET(ORÇAMENTO!$X$15,$A21,0,$B21)+10^-12)))</f>
        <v>#N/A</v>
      </c>
      <c r="AO21" s="266" t="e">
        <f aca="true">IF(ACOMPANHAMENTO&lt;&gt;"BM",0,OFFSET(BM!$O$15,$A21,0))</f>
        <v>#N/A</v>
      </c>
    </row>
    <row r="22" customFormat="false" ht="30" hidden="false" customHeight="true" outlineLevel="0" collapsed="false">
      <c r="A22" s="0" t="e">
        <f aca="false">MATCH(E22,ORÇAMENTO!$E$15:$E$59,0)-1</f>
        <v>#N/A</v>
      </c>
      <c r="B22" s="0" t="e">
        <f aca="true">IF(ISERROR($A22),NA(),OFFSET(ORÇAMENTO!$D$15,$A22,0))</f>
        <v>#N/A</v>
      </c>
      <c r="C22" s="0" t="str">
        <f aca="false">QCI!B22</f>
        <v>Branco</v>
      </c>
      <c r="D22" s="0" t="str">
        <f aca="false">IF(L22&gt;0,"F","")</f>
        <v/>
      </c>
      <c r="E22" s="538" t="n">
        <f aca="false">QCI!D22</f>
        <v>9</v>
      </c>
      <c r="F22" s="693" t="str">
        <f aca="false">QCI!G22</f>
        <v/>
      </c>
      <c r="G22" s="694" t="n">
        <f aca="false">QCI!H22</f>
        <v>0</v>
      </c>
      <c r="H22" s="541" t="n">
        <f aca="false">QCI!I22</f>
        <v>0</v>
      </c>
      <c r="I22" s="541" t="str">
        <f aca="false">QCI!J22</f>
        <v/>
      </c>
      <c r="J22" s="695" t="str">
        <f aca="false">QCI!K22</f>
        <v/>
      </c>
      <c r="K22" s="696" t="str">
        <f aca="true" t="array" ref="K22:K22">IF($C22="Automático",IF(ACOMPANHAMENTO="BM",BM.medicao,PLE.Medicao),IF(ISBLANK($X22),"",$X22))</f>
        <v/>
      </c>
      <c r="L22" s="546" t="n">
        <f aca="false">QCI!$O22</f>
        <v>0</v>
      </c>
      <c r="M22" s="543" t="n">
        <f aca="false">ROUND(IF(C22="Automático",AE22+AL22,Y22),2)</f>
        <v>0</v>
      </c>
      <c r="N22" s="544" t="n">
        <f aca="false">O22-M22</f>
        <v>0</v>
      </c>
      <c r="O22" s="545" t="n">
        <f aca="false">ROUND(IF(C22="Automático",AH22+AO22,Z22),2)</f>
        <v>0</v>
      </c>
      <c r="P22" s="697" t="n">
        <f aca="false">O22/(L22+10^-12)</f>
        <v>0</v>
      </c>
      <c r="R22" s="698" t="n">
        <f aca="false">ROUND(IF($C22="Automático",AC22+AJ22,$Y22*IF(ISERROR(QCI!$AA22/QCI!$O22),0,QCI!$AA22/QCI!$O22)),2)</f>
        <v>0</v>
      </c>
      <c r="S22" s="698" t="n">
        <f aca="false">ROUND(IF($C22="Automático",AD22+AK22,$Y22*IF(ISERROR(QCI!$AB22/QCI!$O22),0,QCI!$AB22/QCI!$O22)),2)</f>
        <v>0</v>
      </c>
      <c r="T22" s="698" t="n">
        <f aca="false">ROUND(IF($C22="Automático",AF22+AM22,$Z22*IF(ISERROR(QCI!$AA22/QCI!$O22),0,QCI!$AA22/QCI!$O22)),2)</f>
        <v>0</v>
      </c>
      <c r="U22" s="698" t="n">
        <f aca="false">ROUND(IF($C22="Automático",AG22+AN22,$Z22*IF(ISERROR(QCI!$AB22/QCI!$O22),0,QCI!$AB22/QCI!$O22)),2)</f>
        <v>0</v>
      </c>
      <c r="V22" s="98" t="n">
        <f aca="true">IF(AND($L22&gt;0,$J22&lt;&gt;0,$J22&lt;&gt;"",COUNTIF($J$13:$J22,$J22)=1),OFFSET(V22,-1,0)+1,OFFSET(V22,-1,0))</f>
        <v>0</v>
      </c>
      <c r="X22" s="699"/>
      <c r="Y22" s="700"/>
      <c r="Z22" s="701"/>
      <c r="AC22" s="266" t="n">
        <f aca="true" t="array" ref="AC22:AC22">IF(ACOMPANHAMENTO&lt;&gt;"PLE",0,SUMPRODUCT((OFFSET(CÁLCULO!$AX$15:$BH$15,$A22,0,$B22)&lt;=(PLE.Medicao-1))*OFFSET(CÁLCULO!$AB$15:$AL$15,$A22,0,$B22)*OFFSET(ORÇAMENTO!$AA$15,$A22,0,$B22)/(OFFSET(ORÇAMENTO!$X$15,$A22,0,$B22)+10^-12))+IF(AUTOEVENTO="Manual",SUMPRODUCT((OFFSET(CÁLCULO!$M$15,$A22,0,$B22)=1)*OFFSET(ORÇAMENTO!$AA$15,$A22,0,$B22)*(PLE!$AE$9-PLE!$Y$9)),0))</f>
        <v>0</v>
      </c>
      <c r="AD22" s="266" t="n">
        <f aca="true" t="array" ref="AD22:AD22">IF(ACOMPANHAMENTO&lt;&gt;"PLE",0,SUMPRODUCT((OFFSET(CÁLCULO!$AX$15:$BH$15,$A22,0,$B22)&lt;=(PLE.Medicao-1))*OFFSET(CÁLCULO!$AB$15:$AL$15,$A22,0,$B22)*OFFSET(ORÇAMENTO!$AB$15,$A22,0,$B22)/(OFFSET(ORÇAMENTO!$X$15,$A22,0,$B22)+10^-12))+IF(AUTOEVENTO="Manual",SUMPRODUCT((OFFSET(CÁLCULO!$M$15,$A22,0,$B22)=1)*OFFSET(ORÇAMENTO!$AB$15,$A22,0,$B22)*(PLE!$AE$9-PLE!$Y$9)),0))</f>
        <v>0</v>
      </c>
      <c r="AE22" s="266" t="n">
        <f aca="true">ROUND(
            IF(ACOMPANHAMENTO&lt;&gt;"PLE",0,
                      SUMIF(OFFSET(CÁLCULO!$AX$15:$BH$15,$A22,0,$B22),"&lt;="&amp;(PLE.Medicao-1),OFFSET(CÁLCULO!$AB$15:$AL$15,$A22,0,$B22))
                      +IF(AdmLocal="Automática",
                              SUMIF(OFFSET(CÁLCULO!$M$15,$A22,0,$B22),1,OFFSET(ORÇAMENTO!$X$15,$A22,0,$B22))*(PLE!$AE$9-PLE!$Y$9),
                              0)),
            2)</f>
        <v>0</v>
      </c>
      <c r="AF22" s="266" t="n">
        <f aca="true" t="array" ref="AF22:AF22">IF(ACOMPANHAMENTO&lt;&gt;"PLE",0,SUMPRODUCT((OFFSET(CÁLCULO!$AX$15:$BH$15,$A22,0,$B22)&lt;=PLE.Medicao)*OFFSET(CÁLCULO!$AB$15:$AL$15,$A22,0,$B22)*OFFSET(ORÇAMENTO!$AA$15,$A22,0,$B22)/(OFFSET(ORÇAMENTO!$X$15,$A22,0,$B22)+10^-12))+IF(AUTOEVENTO="Manual",SUMPRODUCT((OFFSET(CÁLCULO!$M$15,$A22,0,$B22)=1)*OFFSET(ORÇAMENTO!$AA$15,$A22,0,$B22)*PLE!$AE$9),0))</f>
        <v>0</v>
      </c>
      <c r="AG22" s="266" t="n">
        <f aca="true" t="array" ref="AG22:AG22">IF(ACOMPANHAMENTO&lt;&gt;"PLE",0,SUMPRODUCT((OFFSET(CÁLCULO!$AX$15:$BH$15,$A22,0,$B22)&lt;=PLE.Medicao)*OFFSET(CÁLCULO!$AB$15:$AL$15,$A22,0,$B22)*OFFSET(ORÇAMENTO!$AB$15,$A22,0,$B22)/(OFFSET(ORÇAMENTO!$X$15,$A22,0,$B22)+10^-12))+IF(AUTOEVENTO="Manual",SUMPRODUCT((OFFSET(CÁLCULO!$M$15,$A22,0,$B22)=1)*OFFSET(ORÇAMENTO!$AB$15,$A22,0,$B22)*PLE!$AE$9),0))</f>
        <v>0</v>
      </c>
      <c r="AH22" s="266" t="n">
        <f aca="true">ROUND(IF(ACOMPANHAMENTO&lt;&gt;"PLE",0,SUMIF(OFFSET(CÁLCULO!$AX$15:$BH$15,$A22,0,$B22),"&lt;="&amp;PLE.Medicao,OFFSET(CÁLCULO!$AB$15:$AL$15,$A22,0,$B22))+IF(AdmLocal="Automática",SUMIF(OFFSET(CÁLCULO!$M$15,$A22,0,$B22),1,OFFSET(ORÇAMENTO!$X$15,$A22,0,$B22))*PLE!$AE$9,0)),2)</f>
        <v>0</v>
      </c>
      <c r="AJ22" s="266" t="e">
        <f aca="true" t="array" ref="AJ22:AJ22">IF(ACOMPANHAMENTO&lt;&gt;"BM",0,SUMPRODUCT(OFFSET(BM!$M$15,$A22,0,$B22)*(OFFSET(BM!$A$15,$A22,0,$B22)="S")*OFFSET(ORÇAMENTO!AA$15,$A22,0,$B22)/(OFFSET(ORÇAMENTO!$X$15,$A22,0,$B22)+10^-12)))</f>
        <v>#N/A</v>
      </c>
      <c r="AK22" s="266" t="e">
        <f aca="true" t="array" ref="AK22:AK22">IF(ACOMPANHAMENTO&lt;&gt;"BM",0,SUMPRODUCT(OFFSET(BM!$M$15,$A22,0,$B22)*(OFFSET(BM!$A$15,$A22,0,$B22)="S")*OFFSET(ORÇAMENTO!AB$15,$A22,0,$B22)/(OFFSET(ORÇAMENTO!$X$15,$A22,0,$B22)+10^-12)))</f>
        <v>#N/A</v>
      </c>
      <c r="AL22" s="266" t="e">
        <f aca="true">IF(ACOMPANHAMENTO&lt;&gt;"BM",0,OFFSET(BM!$M$15,$A22,0))</f>
        <v>#N/A</v>
      </c>
      <c r="AM22" s="266" t="e">
        <f aca="true" t="array" ref="AM22:AM22">IF(ACOMPANHAMENTO&lt;&gt;"BM",0,SUMPRODUCT(OFFSET(BM!$O$15,$A22,0,$B22)*(OFFSET(BM!$A$15,$A22,0,$B22)="S")*OFFSET(ORÇAMENTO!AA$15,$A22,0,$B22)/(OFFSET(ORÇAMENTO!$X$15,$A22,0,$B22)+10^-12)))</f>
        <v>#N/A</v>
      </c>
      <c r="AN22" s="266" t="e">
        <f aca="true" t="array" ref="AN22:AN22">IF(ACOMPANHAMENTO&lt;&gt;"BM",0,SUMPRODUCT(OFFSET(BM!$O$15,$A22,0,$B22)*(OFFSET(BM!$A$15,$A22,0,$B22)="S")*OFFSET(ORÇAMENTO!AB$15,$A22,0,$B22)/(OFFSET(ORÇAMENTO!$X$15,$A22,0,$B22)+10^-12)))</f>
        <v>#N/A</v>
      </c>
      <c r="AO22" s="266" t="e">
        <f aca="true">IF(ACOMPANHAMENTO&lt;&gt;"BM",0,OFFSET(BM!$O$15,$A22,0))</f>
        <v>#N/A</v>
      </c>
    </row>
    <row r="23" customFormat="false" ht="30" hidden="false" customHeight="true" outlineLevel="0" collapsed="false">
      <c r="A23" s="0" t="e">
        <f aca="false">MATCH(E23,ORÇAMENTO!$E$15:$E$59,0)-1</f>
        <v>#N/A</v>
      </c>
      <c r="B23" s="0" t="e">
        <f aca="true">IF(ISERROR($A23),NA(),OFFSET(ORÇAMENTO!$D$15,$A23,0))</f>
        <v>#N/A</v>
      </c>
      <c r="C23" s="0" t="str">
        <f aca="false">QCI!B23</f>
        <v>Branco</v>
      </c>
      <c r="D23" s="0" t="str">
        <f aca="false">IF(L23&gt;0,"F","")</f>
        <v/>
      </c>
      <c r="E23" s="538" t="n">
        <f aca="false">QCI!D23</f>
        <v>10</v>
      </c>
      <c r="F23" s="693" t="str">
        <f aca="false">QCI!G23</f>
        <v/>
      </c>
      <c r="G23" s="694" t="n">
        <f aca="false">QCI!H23</f>
        <v>0</v>
      </c>
      <c r="H23" s="541" t="n">
        <f aca="false">QCI!I23</f>
        <v>0</v>
      </c>
      <c r="I23" s="541" t="str">
        <f aca="false">QCI!J23</f>
        <v/>
      </c>
      <c r="J23" s="695" t="str">
        <f aca="false">QCI!K23</f>
        <v/>
      </c>
      <c r="K23" s="696" t="str">
        <f aca="true" t="array" ref="K23:K23">IF($C23="Automático",IF(ACOMPANHAMENTO="BM",BM.medicao,PLE.Medicao),IF(ISBLANK($X23),"",$X23))</f>
        <v/>
      </c>
      <c r="L23" s="546" t="n">
        <f aca="false">QCI!$O23</f>
        <v>0</v>
      </c>
      <c r="M23" s="543" t="n">
        <f aca="false">ROUND(IF(C23="Automático",AE23+AL23,Y23),2)</f>
        <v>0</v>
      </c>
      <c r="N23" s="544" t="n">
        <f aca="false">O23-M23</f>
        <v>0</v>
      </c>
      <c r="O23" s="545" t="n">
        <f aca="false">ROUND(IF(C23="Automático",AH23+AO23,Z23),2)</f>
        <v>0</v>
      </c>
      <c r="P23" s="697" t="n">
        <f aca="false">O23/(L23+10^-12)</f>
        <v>0</v>
      </c>
      <c r="R23" s="698" t="n">
        <f aca="false">ROUND(IF($C23="Automático",AC23+AJ23,$Y23*IF(ISERROR(QCI!$AA23/QCI!$O23),0,QCI!$AA23/QCI!$O23)),2)</f>
        <v>0</v>
      </c>
      <c r="S23" s="698" t="n">
        <f aca="false">ROUND(IF($C23="Automático",AD23+AK23,$Y23*IF(ISERROR(QCI!$AB23/QCI!$O23),0,QCI!$AB23/QCI!$O23)),2)</f>
        <v>0</v>
      </c>
      <c r="T23" s="698" t="n">
        <f aca="false">ROUND(IF($C23="Automático",AF23+AM23,$Z23*IF(ISERROR(QCI!$AA23/QCI!$O23),0,QCI!$AA23/QCI!$O23)),2)</f>
        <v>0</v>
      </c>
      <c r="U23" s="698" t="n">
        <f aca="false">ROUND(IF($C23="Automático",AG23+AN23,$Z23*IF(ISERROR(QCI!$AB23/QCI!$O23),0,QCI!$AB23/QCI!$O23)),2)</f>
        <v>0</v>
      </c>
      <c r="V23" s="98" t="n">
        <f aca="true">IF(AND($L23&gt;0,$J23&lt;&gt;0,$J23&lt;&gt;"",COUNTIF($J$13:$J23,$J23)=1),OFFSET(V23,-1,0)+1,OFFSET(V23,-1,0))</f>
        <v>0</v>
      </c>
      <c r="X23" s="699"/>
      <c r="Y23" s="700"/>
      <c r="Z23" s="701"/>
      <c r="AC23" s="266" t="n">
        <f aca="true" t="array" ref="AC23:AC23">IF(ACOMPANHAMENTO&lt;&gt;"PLE",0,SUMPRODUCT((OFFSET(CÁLCULO!$AX$15:$BH$15,$A23,0,$B23)&lt;=(PLE.Medicao-1))*OFFSET(CÁLCULO!$AB$15:$AL$15,$A23,0,$B23)*OFFSET(ORÇAMENTO!$AA$15,$A23,0,$B23)/(OFFSET(ORÇAMENTO!$X$15,$A23,0,$B23)+10^-12))+IF(AUTOEVENTO="Manual",SUMPRODUCT((OFFSET(CÁLCULO!$M$15,$A23,0,$B23)=1)*OFFSET(ORÇAMENTO!$AA$15,$A23,0,$B23)*(PLE!$AE$9-PLE!$Y$9)),0))</f>
        <v>0</v>
      </c>
      <c r="AD23" s="266" t="n">
        <f aca="true" t="array" ref="AD23:AD23">IF(ACOMPANHAMENTO&lt;&gt;"PLE",0,SUMPRODUCT((OFFSET(CÁLCULO!$AX$15:$BH$15,$A23,0,$B23)&lt;=(PLE.Medicao-1))*OFFSET(CÁLCULO!$AB$15:$AL$15,$A23,0,$B23)*OFFSET(ORÇAMENTO!$AB$15,$A23,0,$B23)/(OFFSET(ORÇAMENTO!$X$15,$A23,0,$B23)+10^-12))+IF(AUTOEVENTO="Manual",SUMPRODUCT((OFFSET(CÁLCULO!$M$15,$A23,0,$B23)=1)*OFFSET(ORÇAMENTO!$AB$15,$A23,0,$B23)*(PLE!$AE$9-PLE!$Y$9)),0))</f>
        <v>0</v>
      </c>
      <c r="AE23" s="266" t="n">
        <f aca="true">ROUND(
            IF(ACOMPANHAMENTO&lt;&gt;"PLE",0,
                      SUMIF(OFFSET(CÁLCULO!$AX$15:$BH$15,$A23,0,$B23),"&lt;="&amp;(PLE.Medicao-1),OFFSET(CÁLCULO!$AB$15:$AL$15,$A23,0,$B23))
                      +IF(AdmLocal="Automática",
                              SUMIF(OFFSET(CÁLCULO!$M$15,$A23,0,$B23),1,OFFSET(ORÇAMENTO!$X$15,$A23,0,$B23))*(PLE!$AE$9-PLE!$Y$9),
                              0)),
            2)</f>
        <v>0</v>
      </c>
      <c r="AF23" s="266" t="n">
        <f aca="true" t="array" ref="AF23:AF23">IF(ACOMPANHAMENTO&lt;&gt;"PLE",0,SUMPRODUCT((OFFSET(CÁLCULO!$AX$15:$BH$15,$A23,0,$B23)&lt;=PLE.Medicao)*OFFSET(CÁLCULO!$AB$15:$AL$15,$A23,0,$B23)*OFFSET(ORÇAMENTO!$AA$15,$A23,0,$B23)/(OFFSET(ORÇAMENTO!$X$15,$A23,0,$B23)+10^-12))+IF(AUTOEVENTO="Manual",SUMPRODUCT((OFFSET(CÁLCULO!$M$15,$A23,0,$B23)=1)*OFFSET(ORÇAMENTO!$AA$15,$A23,0,$B23)*PLE!$AE$9),0))</f>
        <v>0</v>
      </c>
      <c r="AG23" s="266" t="n">
        <f aca="true" t="array" ref="AG23:AG23">IF(ACOMPANHAMENTO&lt;&gt;"PLE",0,SUMPRODUCT((OFFSET(CÁLCULO!$AX$15:$BH$15,$A23,0,$B23)&lt;=PLE.Medicao)*OFFSET(CÁLCULO!$AB$15:$AL$15,$A23,0,$B23)*OFFSET(ORÇAMENTO!$AB$15,$A23,0,$B23)/(OFFSET(ORÇAMENTO!$X$15,$A23,0,$B23)+10^-12))+IF(AUTOEVENTO="Manual",SUMPRODUCT((OFFSET(CÁLCULO!$M$15,$A23,0,$B23)=1)*OFFSET(ORÇAMENTO!$AB$15,$A23,0,$B23)*PLE!$AE$9),0))</f>
        <v>0</v>
      </c>
      <c r="AH23" s="266" t="n">
        <f aca="true">ROUND(IF(ACOMPANHAMENTO&lt;&gt;"PLE",0,SUMIF(OFFSET(CÁLCULO!$AX$15:$BH$15,$A23,0,$B23),"&lt;="&amp;PLE.Medicao,OFFSET(CÁLCULO!$AB$15:$AL$15,$A23,0,$B23))+IF(AdmLocal="Automática",SUMIF(OFFSET(CÁLCULO!$M$15,$A23,0,$B23),1,OFFSET(ORÇAMENTO!$X$15,$A23,0,$B23))*PLE!$AE$9,0)),2)</f>
        <v>0</v>
      </c>
      <c r="AJ23" s="266" t="e">
        <f aca="true" t="array" ref="AJ23:AJ23">IF(ACOMPANHAMENTO&lt;&gt;"BM",0,SUMPRODUCT(OFFSET(BM!$M$15,$A23,0,$B23)*(OFFSET(BM!$A$15,$A23,0,$B23)="S")*OFFSET(ORÇAMENTO!AA$15,$A23,0,$B23)/(OFFSET(ORÇAMENTO!$X$15,$A23,0,$B23)+10^-12)))</f>
        <v>#N/A</v>
      </c>
      <c r="AK23" s="266" t="e">
        <f aca="true" t="array" ref="AK23:AK23">IF(ACOMPANHAMENTO&lt;&gt;"BM",0,SUMPRODUCT(OFFSET(BM!$M$15,$A23,0,$B23)*(OFFSET(BM!$A$15,$A23,0,$B23)="S")*OFFSET(ORÇAMENTO!AB$15,$A23,0,$B23)/(OFFSET(ORÇAMENTO!$X$15,$A23,0,$B23)+10^-12)))</f>
        <v>#N/A</v>
      </c>
      <c r="AL23" s="266" t="e">
        <f aca="true">IF(ACOMPANHAMENTO&lt;&gt;"BM",0,OFFSET(BM!$M$15,$A23,0))</f>
        <v>#N/A</v>
      </c>
      <c r="AM23" s="266" t="e">
        <f aca="true" t="array" ref="AM23:AM23">IF(ACOMPANHAMENTO&lt;&gt;"BM",0,SUMPRODUCT(OFFSET(BM!$O$15,$A23,0,$B23)*(OFFSET(BM!$A$15,$A23,0,$B23)="S")*OFFSET(ORÇAMENTO!AA$15,$A23,0,$B23)/(OFFSET(ORÇAMENTO!$X$15,$A23,0,$B23)+10^-12)))</f>
        <v>#N/A</v>
      </c>
      <c r="AN23" s="266" t="e">
        <f aca="true" t="array" ref="AN23:AN23">IF(ACOMPANHAMENTO&lt;&gt;"BM",0,SUMPRODUCT(OFFSET(BM!$O$15,$A23,0,$B23)*(OFFSET(BM!$A$15,$A23,0,$B23)="S")*OFFSET(ORÇAMENTO!AB$15,$A23,0,$B23)/(OFFSET(ORÇAMENTO!$X$15,$A23,0,$B23)+10^-12)))</f>
        <v>#N/A</v>
      </c>
      <c r="AO23" s="266" t="e">
        <f aca="true">IF(ACOMPANHAMENTO&lt;&gt;"BM",0,OFFSET(BM!$O$15,$A23,0))</f>
        <v>#N/A</v>
      </c>
    </row>
    <row r="24" customFormat="false" ht="12.75" hidden="false" customHeight="true" outlineLevel="0" collapsed="false">
      <c r="D24" s="0" t="s">
        <v>596</v>
      </c>
      <c r="E24" s="32"/>
      <c r="F24" s="32"/>
      <c r="G24" s="32"/>
      <c r="H24" s="32"/>
      <c r="I24" s="33"/>
      <c r="J24" s="703" t="s">
        <v>1037</v>
      </c>
      <c r="K24" s="703"/>
      <c r="L24" s="704" t="n">
        <f aca="false">IF(ISERROR(L28/$L28),0,ROUND(L28/$L28,4))</f>
        <v>0</v>
      </c>
      <c r="M24" s="705" t="n">
        <f aca="false">IF(ISERROR(M28/$L28),0,ROUND(M28/$L28,4))</f>
        <v>0</v>
      </c>
      <c r="N24" s="706" t="n">
        <f aca="false">IF(ISERROR(N28/$L28),0,ROUND(N28/$L28,4))</f>
        <v>0</v>
      </c>
      <c r="O24" s="707" t="n">
        <f aca="false">IF(ISERROR(O28/$L28),0,ROUND(O28/$L28,4))</f>
        <v>0</v>
      </c>
      <c r="P24" s="708" t="n">
        <f aca="false">O28/(L28+10^-12)</f>
        <v>0</v>
      </c>
      <c r="X24" s="570"/>
      <c r="Y24" s="572"/>
      <c r="Z24" s="573"/>
    </row>
    <row r="25" customFormat="false" ht="12.75" hidden="false" customHeight="true" outlineLevel="0" collapsed="false">
      <c r="D25" s="0" t="s">
        <v>596</v>
      </c>
      <c r="I25" s="8"/>
      <c r="J25" s="709" t="str">
        <f aca="false">IF(import.recurso="FGTS","Financiamento","Repasse")</f>
        <v>Repasse</v>
      </c>
      <c r="K25" s="709"/>
      <c r="L25" s="546" t="n">
        <f aca="false">QCI!L24</f>
        <v>0</v>
      </c>
      <c r="M25" s="543" t="n">
        <f aca="false">M28-M27-M26</f>
        <v>0</v>
      </c>
      <c r="N25" s="544" t="n">
        <f aca="false">O25-M25</f>
        <v>0</v>
      </c>
      <c r="O25" s="545" t="n">
        <f aca="false">O28-O27-O26</f>
        <v>0</v>
      </c>
      <c r="P25" s="708"/>
      <c r="X25" s="710"/>
      <c r="Y25" s="711" t="s">
        <v>1038</v>
      </c>
      <c r="Z25" s="712" t="s">
        <v>1039</v>
      </c>
      <c r="AC25" s="713" t="s">
        <v>1040</v>
      </c>
      <c r="AD25" s="713" t="s">
        <v>1041</v>
      </c>
    </row>
    <row r="26" customFormat="false" ht="12.75" hidden="false" customHeight="true" outlineLevel="0" collapsed="false">
      <c r="D26" s="0" t="s">
        <v>596</v>
      </c>
      <c r="I26" s="8"/>
      <c r="J26" s="714" t="s">
        <v>1042</v>
      </c>
      <c r="K26" s="714"/>
      <c r="L26" s="715" t="n">
        <f aca="false">QCI!M24</f>
        <v>0</v>
      </c>
      <c r="M26" s="716" t="n">
        <f aca="true">ROUND(IF(OFFSET($X$26,0,1)&lt;&gt;"",OFFSET($X$26,0,1),SUM(R13:OFFSET(R24,-1,0))),2)</f>
        <v>0</v>
      </c>
      <c r="N26" s="717" t="n">
        <f aca="false">O26-M26</f>
        <v>0</v>
      </c>
      <c r="O26" s="718" t="n">
        <f aca="true">IF(OFFSET($X$26,0,2)&lt;&gt;"",OFFSET($X$26,0,2),$AE$3)</f>
        <v>0</v>
      </c>
      <c r="P26" s="708"/>
      <c r="X26" s="719" t="s">
        <v>516</v>
      </c>
      <c r="Y26" s="720"/>
      <c r="Z26" s="721"/>
      <c r="AC26" s="722" t="n">
        <f aca="true">MIN($L26,$O$28-OFFSET($X$27,0,1))</f>
        <v>0</v>
      </c>
      <c r="AD26" s="722" t="n">
        <f aca="true">MIN($L26,$O$28-OFFSET($X$27,0,2))</f>
        <v>0</v>
      </c>
    </row>
    <row r="27" customFormat="false" ht="12.75" hidden="false" customHeight="true" outlineLevel="0" collapsed="false">
      <c r="D27" s="0" t="s">
        <v>596</v>
      </c>
      <c r="I27" s="8"/>
      <c r="J27" s="723" t="s">
        <v>1019</v>
      </c>
      <c r="K27" s="723"/>
      <c r="L27" s="724" t="n">
        <f aca="false">QCI!N24</f>
        <v>0</v>
      </c>
      <c r="M27" s="725" t="n">
        <f aca="true">ROUND(IF(OFFSET($X$27,0,1)&lt;&gt;"",OFFSET($X$27,0,1),SUM(S13:OFFSET(S24,-1,0))),2)</f>
        <v>0</v>
      </c>
      <c r="N27" s="726" t="n">
        <f aca="false">O27-M27</f>
        <v>0</v>
      </c>
      <c r="O27" s="727" t="n">
        <f aca="true">IF(OFFSET($X$27,0,2)&lt;&gt;"",OFFSET($X$27,0,2),$AE$4)</f>
        <v>0</v>
      </c>
      <c r="P27" s="708"/>
      <c r="X27" s="728" t="s">
        <v>778</v>
      </c>
      <c r="Y27" s="729"/>
      <c r="Z27" s="730"/>
      <c r="AC27" s="722" t="n">
        <f aca="true">MIN($L27,$O$28-OFFSET($X$26,0,1))</f>
        <v>0</v>
      </c>
      <c r="AD27" s="722" t="n">
        <f aca="true">MIN($L27,$O$28-OFFSET($X$26,0,2))</f>
        <v>0</v>
      </c>
    </row>
    <row r="28" customFormat="false" ht="14.15" hidden="false" customHeight="false" outlineLevel="0" collapsed="false">
      <c r="D28" s="0" t="s">
        <v>596</v>
      </c>
      <c r="I28" s="8"/>
      <c r="J28" s="731" t="s">
        <v>1021</v>
      </c>
      <c r="K28" s="731"/>
      <c r="L28" s="732" t="n">
        <f aca="true">SUM(L13:OFFSET(L24,-1,0))</f>
        <v>0</v>
      </c>
      <c r="M28" s="733" t="n">
        <f aca="true">ROUND(SUM(M13:OFFSET(M24,-1,0)),2)</f>
        <v>0</v>
      </c>
      <c r="N28" s="734" t="n">
        <f aca="false">O28-M28</f>
        <v>0</v>
      </c>
      <c r="O28" s="735" t="n">
        <f aca="true">SUM(O13:OFFSET(O24,-1,0))</f>
        <v>0</v>
      </c>
      <c r="P28" s="708"/>
      <c r="X28" s="582"/>
      <c r="Y28" s="584"/>
      <c r="Z28" s="585"/>
    </row>
    <row r="29" customFormat="false" ht="12.75" hidden="false" customHeight="false" outlineLevel="0" collapsed="false">
      <c r="O29" s="736" t="str">
        <f aca="false">"Acumulado Anterior:  "&amp;TEXT($M$28/($L$28+10^-12),"0,00%")</f>
        <v>Acumulado Anterior:  0,00%</v>
      </c>
      <c r="P29" s="736"/>
    </row>
    <row r="30" customFormat="false" ht="13.8" hidden="false" customHeight="false" outlineLevel="0" collapsed="false">
      <c r="E30" s="251" t="s">
        <v>751</v>
      </c>
      <c r="P30" s="8"/>
    </row>
    <row r="31" customFormat="false" ht="12.75" hidden="false" customHeight="true" outlineLevel="0" collapsed="false">
      <c r="E31" s="252"/>
      <c r="F31" s="252"/>
      <c r="G31" s="252"/>
      <c r="H31" s="252"/>
      <c r="I31" s="252"/>
      <c r="J31" s="252"/>
      <c r="K31" s="252"/>
      <c r="L31" s="252"/>
      <c r="M31" s="252"/>
      <c r="N31" s="252"/>
      <c r="O31" s="252"/>
      <c r="P31" s="252"/>
    </row>
    <row r="32" customFormat="false" ht="12.75" hidden="false" customHeight="true" outlineLevel="0" collapsed="false">
      <c r="E32" s="252"/>
      <c r="F32" s="252"/>
      <c r="G32" s="252"/>
      <c r="H32" s="252"/>
      <c r="I32" s="252"/>
      <c r="J32" s="252"/>
      <c r="K32" s="252"/>
      <c r="L32" s="252"/>
      <c r="M32" s="252"/>
      <c r="N32" s="252"/>
      <c r="O32" s="252"/>
      <c r="P32" s="252"/>
      <c r="Y32" s="737"/>
      <c r="Z32" s="737"/>
    </row>
    <row r="33" customFormat="false" ht="12.75" hidden="false" customHeight="true" outlineLevel="0" collapsed="false">
      <c r="E33" s="252"/>
      <c r="F33" s="252"/>
      <c r="G33" s="252"/>
      <c r="H33" s="252"/>
      <c r="I33" s="252"/>
      <c r="J33" s="252"/>
      <c r="K33" s="252"/>
      <c r="L33" s="252"/>
      <c r="M33" s="252"/>
      <c r="N33" s="252"/>
      <c r="O33" s="252"/>
      <c r="P33" s="252"/>
    </row>
    <row r="34" customFormat="false" ht="12.75" hidden="false" customHeight="false" outlineLevel="0" collapsed="false">
      <c r="L34" s="109" t="str">
        <f aca="false">IF(L35=0,"Preencher a data de fechamento do RRE na aba DADOS (célula "&amp;ADDRESS(ROW(Import.DataFechaRRE),COLUMN(Import.DataFechaRRE),4)&amp;")","")</f>
        <v>Preencher a data de fechamento do RRE na aba DADOS (célula C48)</v>
      </c>
    </row>
    <row r="35" customFormat="false" ht="13.8" hidden="false" customHeight="false" outlineLevel="0" collapsed="false">
      <c r="E35" s="258" t="str">
        <f aca="false">Import.Município</f>
        <v>TRAMANDAI/RS</v>
      </c>
      <c r="F35" s="258"/>
      <c r="G35" s="258"/>
      <c r="I35" s="738"/>
      <c r="K35" s="739"/>
      <c r="L35" s="306" t="n">
        <f aca="false">DADOS!$C$48</f>
        <v>0</v>
      </c>
      <c r="M35" s="306"/>
      <c r="N35" s="306"/>
      <c r="O35" s="306"/>
    </row>
    <row r="36" customFormat="false" ht="12.75" hidden="false" customHeight="false" outlineLevel="0" collapsed="false">
      <c r="E36" s="52" t="s">
        <v>755</v>
      </c>
      <c r="L36" s="52" t="s">
        <v>756</v>
      </c>
    </row>
    <row r="38" customFormat="false" ht="12.75" hidden="false" customHeight="false" outlineLevel="0" collapsed="false">
      <c r="E38" s="46"/>
      <c r="F38" s="46"/>
      <c r="G38" s="46"/>
      <c r="L38" s="46"/>
      <c r="M38" s="46"/>
      <c r="N38" s="46"/>
      <c r="O38" s="46"/>
    </row>
    <row r="39" customFormat="false" ht="12.75" hidden="false" customHeight="false" outlineLevel="0" collapsed="false">
      <c r="E39" s="740" t="str">
        <f aca="false">IF(CAIXA.Modo,"Responsável Gerencial CAIXA","Representante Tomador")</f>
        <v>Representante Tomador</v>
      </c>
      <c r="F39" s="48"/>
      <c r="L39" s="740" t="str">
        <f aca="false">IF(CAIXA.Modo,"Responsável Técnico CAIXA","Responsável Técnico pela Fiscalização")</f>
        <v>Responsável Técnico pela Fiscalização</v>
      </c>
    </row>
    <row r="40" customFormat="false" ht="12.75" hidden="false" customHeight="false" outlineLevel="0" collapsed="false">
      <c r="E40" s="148" t="s">
        <v>297</v>
      </c>
      <c r="F40" s="612" t="str">
        <f aca="false">IF(CAIXA.Modo,DADOS!C60,DADOS!C28)</f>
        <v>JUAREZ MARQUES DA SILVA</v>
      </c>
      <c r="L40" s="148" t="s">
        <v>297</v>
      </c>
      <c r="M40" s="663" t="n">
        <f aca="false">IF(CAIXA.Modo,BM!X71,DADOS!C51)</f>
        <v>0</v>
      </c>
      <c r="N40" s="663"/>
      <c r="O40" s="663"/>
    </row>
    <row r="41" customFormat="false" ht="12.75" hidden="false" customHeight="false" outlineLevel="0" collapsed="false">
      <c r="E41" s="148" t="str">
        <f aca="false">IF(CAIXA.Modo,"Função:","Cargo:")</f>
        <v>Cargo:</v>
      </c>
      <c r="F41" s="612" t="str">
        <f aca="false">IF(CAIXA.Modo,DADOS!C61,DADOS!C29)</f>
        <v>PREFEITO MUNICIPAL</v>
      </c>
      <c r="L41" s="148" t="str">
        <f aca="false">IF(CAIXA.Modo,"Matrícula:","Profissão:")</f>
        <v>Profissão:</v>
      </c>
      <c r="M41" s="663" t="n">
        <f aca="false">IF(CAIXA.Modo,BM!X72,DADOS!C52)</f>
        <v>0</v>
      </c>
      <c r="N41" s="663"/>
      <c r="O41" s="663"/>
    </row>
    <row r="42" customFormat="false" ht="12.75" hidden="false" customHeight="false" outlineLevel="0" collapsed="false">
      <c r="L42" s="148" t="s">
        <v>301</v>
      </c>
      <c r="M42" s="663" t="n">
        <f aca="false">IF(CAIXA.Modo,BM!X73,DADOS!C53)</f>
        <v>0</v>
      </c>
      <c r="N42" s="663"/>
      <c r="O42" s="663"/>
    </row>
    <row r="43" customFormat="false" ht="12.75" hidden="false" customHeight="false" outlineLevel="0" collapsed="false">
      <c r="L43" s="148" t="str">
        <f aca="false">IF(CAIXA.Modo,"","ART/RRT:")</f>
        <v>ART/RRT:</v>
      </c>
      <c r="M43" s="63" t="n">
        <f aca="false">IF(CAIXA.Modo,"",DADOS!C54)</f>
        <v>0</v>
      </c>
    </row>
    <row r="45" customFormat="false" ht="12.75" hidden="false" customHeight="false" outlineLevel="0" collapsed="false">
      <c r="E45" s="46"/>
      <c r="F45" s="46"/>
      <c r="G45" s="46"/>
      <c r="L45" s="46"/>
      <c r="M45" s="46"/>
      <c r="N45" s="46"/>
      <c r="O45" s="46"/>
    </row>
    <row r="46" customFormat="false" ht="12.75" hidden="false" customHeight="false" outlineLevel="0" collapsed="false">
      <c r="E46" s="0" t="str">
        <f aca="false">IF(CAIXA.Modo,"Responsável Social CAIXA","Responsável Social")</f>
        <v>Responsável Social</v>
      </c>
      <c r="L46" s="0" t="str">
        <f aca="false">IF(CAIXA.Modo,"Responsável Operacional CAIXA","Responsável Financeiro")</f>
        <v>Responsável Financeiro</v>
      </c>
    </row>
    <row r="47" customFormat="false" ht="12.75" hidden="false" customHeight="false" outlineLevel="0" collapsed="false">
      <c r="E47" s="148" t="s">
        <v>297</v>
      </c>
      <c r="F47" s="666"/>
      <c r="G47" s="666"/>
      <c r="L47" s="148" t="s">
        <v>297</v>
      </c>
      <c r="M47" s="666"/>
      <c r="N47" s="666"/>
      <c r="O47" s="666"/>
    </row>
    <row r="48" customFormat="false" ht="12.75" hidden="false" customHeight="false" outlineLevel="0" collapsed="false">
      <c r="E48" s="148" t="str">
        <f aca="false">IF(CAIXA.Modo,"Função:","Cargo:")</f>
        <v>Cargo:</v>
      </c>
      <c r="F48" s="666"/>
      <c r="G48" s="666"/>
      <c r="L48" s="148" t="str">
        <f aca="false">IF(CAIXA.Modo,"Função:","Cargo:")</f>
        <v>Cargo:</v>
      </c>
      <c r="M48" s="666"/>
      <c r="N48" s="666"/>
      <c r="O48" s="666"/>
    </row>
    <row r="49" customFormat="false" ht="12.75" hidden="false" customHeight="false" outlineLevel="0" collapsed="false">
      <c r="E49" s="148" t="str">
        <f aca="false">IF(CAIXA.Modo,"Matr:","")</f>
        <v/>
      </c>
      <c r="F49" s="666"/>
      <c r="G49" s="666"/>
      <c r="L49" s="148" t="str">
        <f aca="false">IF(CAIXA.Modo,"Matrícula:","")</f>
        <v/>
      </c>
      <c r="M49" s="666"/>
      <c r="N49" s="666"/>
      <c r="O49" s="666"/>
    </row>
  </sheetData>
  <sheetProtection algorithmName="SHA-512" hashValue="e+UEaJdf1DeSpBs94zM1eSb6yyd03wpgjD6yfVp0R+1rrRMX0ybNQS4Gnkcr+pXtBSGU/MKgSoQkOaebT6DKCA==" saltValue="Q39vdI0+JPCkbrS+2iCoIQ==" spinCount="100000" sheet="true" objects="true" scenarios="true" autoFilter="false"/>
  <autoFilter ref="D13:D30"/>
  <mergeCells count="40">
    <mergeCell ref="E3:H3"/>
    <mergeCell ref="I3:K3"/>
    <mergeCell ref="E4:H4"/>
    <mergeCell ref="I4:K4"/>
    <mergeCell ref="M4:O4"/>
    <mergeCell ref="E6:H6"/>
    <mergeCell ref="I6:L6"/>
    <mergeCell ref="D7:D11"/>
    <mergeCell ref="E7:H7"/>
    <mergeCell ref="I7:L7"/>
    <mergeCell ref="G9:H9"/>
    <mergeCell ref="I9:J9"/>
    <mergeCell ref="L9:L10"/>
    <mergeCell ref="G10:H10"/>
    <mergeCell ref="AC10:AH10"/>
    <mergeCell ref="AJ10:AO10"/>
    <mergeCell ref="Y11:Z11"/>
    <mergeCell ref="AC11:AE11"/>
    <mergeCell ref="AF11:AH11"/>
    <mergeCell ref="AJ11:AL11"/>
    <mergeCell ref="AM11:AO11"/>
    <mergeCell ref="J24:K24"/>
    <mergeCell ref="P24:P28"/>
    <mergeCell ref="J25:K25"/>
    <mergeCell ref="J26:K26"/>
    <mergeCell ref="J27:K27"/>
    <mergeCell ref="J28:K28"/>
    <mergeCell ref="O29:P29"/>
    <mergeCell ref="E31:P33"/>
    <mergeCell ref="E35:G35"/>
    <mergeCell ref="L35:O35"/>
    <mergeCell ref="M40:O40"/>
    <mergeCell ref="M41:O41"/>
    <mergeCell ref="M42:O42"/>
    <mergeCell ref="F47:G47"/>
    <mergeCell ref="M47:O47"/>
    <mergeCell ref="F48:G48"/>
    <mergeCell ref="M48:O48"/>
    <mergeCell ref="F49:G49"/>
    <mergeCell ref="M49:O49"/>
  </mergeCells>
  <conditionalFormatting sqref="X23:Z23">
    <cfRule type="expression" priority="2" aboveAverage="0" equalAverage="0" bottom="0" percent="0" rank="0" text="" dxfId="509">
      <formula>OR($C23="Automático",$C23="Branco")</formula>
    </cfRule>
  </conditionalFormatting>
  <conditionalFormatting sqref="M23 O23">
    <cfRule type="cellIs" priority="3" operator="notBetween" aboveAverage="0" equalAverage="0" bottom="0" percent="0" rank="0" text="" dxfId="510">
      <formula>0</formula>
      <formula>$L23</formula>
    </cfRule>
  </conditionalFormatting>
  <conditionalFormatting sqref="X14:Z22">
    <cfRule type="expression" priority="4" aboveAverage="0" equalAverage="0" bottom="0" percent="0" rank="0" text="" dxfId="511">
      <formula>OR($C14="Automático",$C14="Branco")</formula>
    </cfRule>
  </conditionalFormatting>
  <conditionalFormatting sqref="M14:M22 O14:O22">
    <cfRule type="cellIs" priority="5" operator="notBetween" aboveAverage="0" equalAverage="0" bottom="0" percent="0" rank="0" text="" dxfId="512">
      <formula>0</formula>
      <formula>$L14</formula>
    </cfRule>
  </conditionalFormatting>
  <conditionalFormatting sqref="X12:Z12">
    <cfRule type="expression" priority="6" aboveAverage="0" equalAverage="0" bottom="0" percent="0" rank="0" text="" dxfId="513">
      <formula>OR($C12="Automático",$C12="Branco")</formula>
    </cfRule>
  </conditionalFormatting>
  <conditionalFormatting sqref="F49:G49 M49:O49">
    <cfRule type="expression" priority="7" aboveAverage="0" equalAverage="0" bottom="0" percent="0" rank="0" text="" dxfId="514">
      <formula>CAIXA.Modo=0</formula>
    </cfRule>
  </conditionalFormatting>
  <conditionalFormatting sqref="M12 M25:M28 O12 O25:O28">
    <cfRule type="cellIs" priority="8" operator="notBetween" aboveAverage="0" equalAverage="0" bottom="0" percent="0" rank="0" text="" dxfId="515">
      <formula>0</formula>
      <formula>$L12</formula>
    </cfRule>
  </conditionalFormatting>
  <conditionalFormatting sqref="M10:N10">
    <cfRule type="cellIs" priority="9" operator="lessThan" aboveAverage="0" equalAverage="0" bottom="0" percent="0" rank="0" text="" dxfId="516">
      <formula>0</formula>
    </cfRule>
  </conditionalFormatting>
  <dataValidations count="5">
    <dataValidation allowBlank="true" error="Valor menor que 0,00 ou maior que o valor da Contrapartida/Outros." errorStyle="warning" errorTitle="Erro de valor" operator="between" prompt="Deixe essa célula em branco para o cálculo automático. Preencha somente para valores de CP diferentes do previsto." promptTitle="Contrapartida Anterior:" showDropDown="false" showErrorMessage="true" showInputMessage="true" sqref="Y26" type="decimal">
      <formula1>0</formula1>
      <formula2>RRE.MaxCPAnt</formula2>
    </dataValidation>
    <dataValidation allowBlank="true" error="Valor menor que 0,00 ou maior que o valor da Contrapartida/Outros." errorStyle="warning" errorTitle="Erro de valor" operator="between" prompt="Deixe essa célula em branco para o cálculo automático. Preencha somente para valores de CP diferentes do previsto." promptTitle="Contrapartida Acumulada:" showDropDown="false" showErrorMessage="true" showInputMessage="true" sqref="Z26" type="decimal">
      <formula1>0</formula1>
      <formula2>RRE.MaxCPAcum</formula2>
    </dataValidation>
    <dataValidation allowBlank="true" error="Valor menor que 0,00 ou maior que o valor da Contrapartida/Outros." errorStyle="warning" errorTitle="Erro de valor" operator="between" prompt="Deixe essa célula em branco para o cálculo automático. Preencha somente para valores de Outros diferentes do previsto." promptTitle="Outros Anterior:" showDropDown="false" showErrorMessage="true" showInputMessage="true" sqref="Y27" type="decimal">
      <formula1>0</formula1>
      <formula2>RRE.MaxOUAnt</formula2>
    </dataValidation>
    <dataValidation allowBlank="true" error="Valor menor que 0,00 ou maior que o valor da Contrapartida/Outros." errorStyle="warning" errorTitle="Erro de valor" operator="between" prompt="Deixe essa célula em branco para o cálculo automático. Preencha somente para valores de Outros diferentes do previsto." promptTitle="Outros Acumulada:" showDropDown="false" showErrorMessage="true" showInputMessage="true" sqref="Z27" type="decimal">
      <formula1>0</formula1>
      <formula2>RRE.MaxOUAcum</formula2>
    </dataValidation>
    <dataValidation allowBlank="true" errorStyle="stop" operator="between" showDropDown="false" showErrorMessage="true" showInputMessage="true" sqref="Y12:Z12 Y14:Z23" type="decimal">
      <formula1>0</formula1>
      <formula2>RRE.VIMeta</formula2>
    </dataValidation>
  </dataValidations>
  <printOptions headings="false" gridLines="false" gridLinesSet="true" horizontalCentered="false" verticalCentered="false"/>
  <pageMargins left="0.7875" right="0.7875" top="0.786805555555556" bottom="0.786805555555556" header="0.590277777777778" footer="0.590277777777778"/>
  <pageSetup paperSize="9" scale="100" fitToWidth="1" fitToHeight="0" pageOrder="downThenOver" orientation="landscape" blackAndWhite="false" draft="false" cellComments="none" horizontalDpi="300" verticalDpi="300" copies="1"/>
  <headerFooter differentFirst="false" differentOddEven="false">
    <oddHeader>&amp;L_&amp;C&amp;14I</oddHeader>
    <oddFooter>&amp;LPMv3.16&amp;R&amp;P / &amp;N</oddFooter>
  </headerFooter>
  <colBreaks count="1" manualBreakCount="1">
    <brk id="15" man="true" max="65535" min="0"/>
  </col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M56"/>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selection pane="topLeft" activeCell="A1" activeCellId="0" sqref="A1"/>
    </sheetView>
  </sheetViews>
  <sheetFormatPr defaultColWidth="8.6796875" defaultRowHeight="12.75" customHeight="false" zeroHeight="false" outlineLevelRow="0" outlineLevelCol="0"/>
  <cols>
    <col collapsed="false" customWidth="true" hidden="false" outlineLevel="0" max="1" min="1" style="0" width="2"/>
    <col collapsed="false" customWidth="true" hidden="false" outlineLevel="0" max="2" min="2" style="0" width="15.57"/>
    <col collapsed="false" customWidth="true" hidden="false" outlineLevel="0" max="3" min="3" style="0" width="6.57"/>
    <col collapsed="false" customWidth="true" hidden="false" outlineLevel="0" max="5" min="4" style="0" width="20.57"/>
    <col collapsed="false" customWidth="true" hidden="false" outlineLevel="0" max="6" min="6" style="0" width="8.57"/>
    <col collapsed="false" customWidth="true" hidden="false" outlineLevel="0" max="7" min="7" style="0" width="12.57"/>
    <col collapsed="false" customWidth="true" hidden="false" outlineLevel="0" max="8" min="8" style="0" width="20.57"/>
    <col collapsed="false" customWidth="true" hidden="false" outlineLevel="0" max="10" min="10" style="0" width="14.14"/>
  </cols>
  <sheetData>
    <row r="1" customFormat="false" ht="12.75" hidden="false" customHeight="false" outlineLevel="0" collapsed="false">
      <c r="B1" s="741"/>
      <c r="C1" s="741"/>
      <c r="D1" s="95"/>
      <c r="E1" s="95"/>
      <c r="F1" s="95"/>
      <c r="G1" s="98" t="s">
        <v>704</v>
      </c>
    </row>
    <row r="2" customFormat="false" ht="12.75" hidden="false" customHeight="false" outlineLevel="0" collapsed="false">
      <c r="B2" s="741"/>
      <c r="C2" s="741"/>
      <c r="D2" s="95"/>
      <c r="E2" s="95"/>
      <c r="F2" s="95"/>
      <c r="G2" s="58" t="s">
        <v>1043</v>
      </c>
    </row>
    <row r="3" customFormat="false" ht="25.5" hidden="false" customHeight="true" outlineLevel="0" collapsed="false">
      <c r="B3" s="741"/>
      <c r="C3" s="741"/>
      <c r="D3" s="95"/>
      <c r="E3" s="95"/>
      <c r="F3" s="95"/>
      <c r="G3" s="742"/>
    </row>
    <row r="4" customFormat="false" ht="12.75" hidden="false" customHeight="true" outlineLevel="0" collapsed="false">
      <c r="B4" s="741"/>
      <c r="C4" s="741"/>
      <c r="D4" s="95"/>
      <c r="E4" s="95"/>
      <c r="F4" s="95"/>
      <c r="G4" s="95"/>
    </row>
    <row r="5" customFormat="false" ht="12.75" hidden="false" customHeight="false" outlineLevel="0" collapsed="false">
      <c r="C5" s="109" t="str">
        <f aca="false">IF(Import.Ofício.Num=0,"Preencher o número do Ofício","")</f>
        <v>Preencher o número do Ofício</v>
      </c>
    </row>
    <row r="6" customFormat="false" ht="12.75" hidden="false" customHeight="false" outlineLevel="0" collapsed="false">
      <c r="B6" s="743" t="s">
        <v>1044</v>
      </c>
      <c r="C6" s="744"/>
      <c r="D6" s="744"/>
      <c r="E6" s="743"/>
      <c r="F6" s="743"/>
      <c r="G6" s="95"/>
      <c r="J6" s="52"/>
    </row>
    <row r="7" customFormat="false" ht="12.75" hidden="false" customHeight="false" outlineLevel="0" collapsed="false">
      <c r="B7" s="95"/>
      <c r="C7" s="95"/>
      <c r="D7" s="95"/>
      <c r="E7" s="95"/>
      <c r="F7" s="95"/>
      <c r="G7" s="95"/>
    </row>
    <row r="8" customFormat="false" ht="12.75" hidden="false" customHeight="false" outlineLevel="0" collapsed="false">
      <c r="B8" s="745" t="str">
        <f aca="false">CONCATENATE(RRE!$E$35,", ",TEXT(RRE!$L$35,"dd"" de ""mmmm"" de ""aaaa"))</f>
        <v>TRAMANDAI/RS, 00 de janeiro de 1900</v>
      </c>
      <c r="C8" s="745"/>
      <c r="D8" s="745"/>
      <c r="E8" s="745"/>
      <c r="F8" s="745"/>
      <c r="G8" s="745"/>
      <c r="H8" s="746"/>
      <c r="J8" s="746"/>
      <c r="K8" s="746"/>
      <c r="L8" s="746"/>
      <c r="M8" s="746"/>
    </row>
    <row r="9" customFormat="false" ht="12.75" hidden="false" customHeight="false" outlineLevel="0" collapsed="false">
      <c r="B9" s="747" t="s">
        <v>1045</v>
      </c>
      <c r="C9" s="95"/>
      <c r="D9" s="95"/>
      <c r="G9" s="95"/>
      <c r="H9" s="746"/>
      <c r="J9" s="746"/>
      <c r="K9" s="746"/>
      <c r="L9" s="746"/>
      <c r="M9" s="746"/>
    </row>
    <row r="10" customFormat="false" ht="12.75" hidden="false" customHeight="false" outlineLevel="0" collapsed="false">
      <c r="B10" s="748" t="s">
        <v>1046</v>
      </c>
      <c r="C10" s="748"/>
      <c r="D10" s="748"/>
      <c r="G10" s="95"/>
      <c r="H10" s="746"/>
      <c r="J10" s="746"/>
      <c r="K10" s="746"/>
      <c r="L10" s="746"/>
      <c r="M10" s="746"/>
    </row>
    <row r="11" customFormat="false" ht="12.75" hidden="false" customHeight="false" outlineLevel="0" collapsed="false">
      <c r="B11" s="749" t="s">
        <v>1047</v>
      </c>
      <c r="C11" s="666"/>
      <c r="D11" s="666"/>
      <c r="G11" s="95"/>
      <c r="H11" s="746"/>
      <c r="J11" s="746"/>
      <c r="K11" s="746"/>
      <c r="L11" s="746"/>
      <c r="M11" s="746"/>
    </row>
    <row r="12" customFormat="false" ht="12.75" hidden="false" customHeight="false" outlineLevel="0" collapsed="false">
      <c r="B12" s="305"/>
      <c r="C12" s="305"/>
      <c r="D12" s="305"/>
      <c r="E12" s="305"/>
      <c r="F12" s="305"/>
      <c r="G12" s="95"/>
      <c r="H12" s="746"/>
      <c r="J12" s="746"/>
      <c r="K12" s="746"/>
      <c r="L12" s="746"/>
      <c r="M12" s="746"/>
    </row>
    <row r="13" customFormat="false" ht="12.75" hidden="false" customHeight="false" outlineLevel="0" collapsed="false">
      <c r="B13" s="95"/>
      <c r="C13" s="95"/>
      <c r="D13" s="95"/>
      <c r="E13" s="95"/>
      <c r="F13" s="95"/>
      <c r="G13" s="95"/>
    </row>
    <row r="14" customFormat="false" ht="12.75" hidden="false" customHeight="false" outlineLevel="0" collapsed="false">
      <c r="B14" s="747" t="s">
        <v>1048</v>
      </c>
      <c r="C14" s="748" t="str">
        <f aca="true" t="array" ref="C14:C14">CONCATENATE(RRE.Numero,"ª"," Solicitação de ",IF(import.recurso="OGU","Desbloqueio","Desembolso")," de Recursos.")</f>
        <v>1ª Solicitação de Desbloqueio de Recursos.</v>
      </c>
      <c r="D14" s="748"/>
      <c r="E14" s="748"/>
      <c r="F14" s="748"/>
      <c r="G14" s="748"/>
    </row>
    <row r="15" customFormat="false" ht="12.75" hidden="false" customHeight="true" outlineLevel="0" collapsed="false">
      <c r="B15" s="747" t="s">
        <v>1049</v>
      </c>
      <c r="C15" s="750" t="str">
        <f aca="false">CONCATENATE("Contrato de ",IF(import.recurso="OGU","Repasse","Financiamento")," - Operação nº ",Import.CR,IF(Import.TransfereGOV="","",CONCATENATE(" - TransfereGOV nº ",Import.TransfereGOV)))</f>
        <v>Contrato de Repasse - Operação nº </v>
      </c>
      <c r="D15" s="750"/>
      <c r="E15" s="750"/>
      <c r="F15" s="750"/>
      <c r="G15" s="750"/>
    </row>
    <row r="16" customFormat="false" ht="12.75" hidden="false" customHeight="false" outlineLevel="0" collapsed="false">
      <c r="B16" s="747"/>
      <c r="C16" s="750"/>
      <c r="D16" s="750"/>
      <c r="E16" s="750"/>
      <c r="F16" s="750"/>
      <c r="G16" s="750"/>
    </row>
    <row r="17" customFormat="false" ht="12.75" hidden="false" customHeight="false" outlineLevel="0" collapsed="false">
      <c r="B17" s="95"/>
      <c r="C17" s="95"/>
      <c r="D17" s="95"/>
      <c r="E17" s="95"/>
      <c r="F17" s="95"/>
      <c r="G17" s="95"/>
    </row>
    <row r="18" customFormat="false" ht="12.75" hidden="false" customHeight="true" outlineLevel="0" collapsed="false">
      <c r="B18" s="612" t="s">
        <v>1050</v>
      </c>
      <c r="C18" s="751" t="n">
        <f aca="false">Import.DescLote</f>
        <v>0</v>
      </c>
      <c r="D18" s="751"/>
      <c r="E18" s="751"/>
      <c r="F18" s="751"/>
      <c r="G18" s="751"/>
    </row>
    <row r="19" customFormat="false" ht="12.75" hidden="false" customHeight="true" outlineLevel="0" collapsed="false">
      <c r="B19" s="752" t="s">
        <v>1051</v>
      </c>
      <c r="C19" s="753" t="str">
        <f aca="false">Import.Proponente</f>
        <v>PREFEITURA MUNICIPAL DE TRAMANDAI</v>
      </c>
      <c r="D19" s="753"/>
      <c r="E19" s="753"/>
      <c r="F19" s="753"/>
      <c r="G19" s="753"/>
    </row>
    <row r="20" customFormat="false" ht="12.75" hidden="false" customHeight="false" outlineLevel="0" collapsed="false">
      <c r="B20" s="752"/>
      <c r="C20" s="753"/>
      <c r="D20" s="753"/>
      <c r="E20" s="753"/>
      <c r="F20" s="753"/>
      <c r="G20" s="753"/>
    </row>
    <row r="21" customFormat="false" ht="12.75" hidden="false" customHeight="false" outlineLevel="0" collapsed="false">
      <c r="B21" s="95"/>
      <c r="C21" s="95"/>
      <c r="D21" s="95"/>
      <c r="E21" s="95"/>
      <c r="F21" s="95"/>
      <c r="G21" s="95"/>
    </row>
    <row r="22" customFormat="false" ht="12.75" hidden="false" customHeight="false" outlineLevel="0" collapsed="false">
      <c r="B22" s="0" t="str">
        <f aca="false">IF(B11="GIGOV","Senhor Gerente","Senhor Superintendente")</f>
        <v>Senhor Gerente</v>
      </c>
      <c r="D22" s="95"/>
      <c r="E22" s="95"/>
      <c r="F22" s="95"/>
      <c r="G22" s="95"/>
    </row>
    <row r="23" customFormat="false" ht="12.75" hidden="false" customHeight="false" outlineLevel="0" collapsed="false">
      <c r="B23" s="95"/>
      <c r="C23" s="95"/>
      <c r="D23" s="95"/>
      <c r="E23" s="95"/>
      <c r="F23" s="95"/>
      <c r="G23" s="95"/>
    </row>
    <row r="24" customFormat="false" ht="12.75" hidden="false" customHeight="true" outlineLevel="0" collapsed="false">
      <c r="B24" s="751" t="str">
        <f aca="false">CONCATENATE("1. Vimos pelo presente, solicitar à Caixa Econômica Federal autorização para ",IF(import.recurso="OGU","desbloqueio","desembolso")," da parcela de recursos relativa ao Contrato de ",IF(import.recurso="OGU","Repasse","Financiamento")," em referência, conforme valores abaixo discriminados e, para tanto, anexamos a documentação necessária ao pleito.")</f>
        <v>1. Vimos pelo presente, solicitar à Caixa Econômica Federal autorização para desbloqueio da parcela de recursos relativa ao Contrato de Repasse em referência, conforme valores abaixo discriminados e, para tanto, anexamos a documentação necessária ao pleito.</v>
      </c>
      <c r="C24" s="751"/>
      <c r="D24" s="751"/>
      <c r="E24" s="751"/>
      <c r="F24" s="751"/>
      <c r="G24" s="751"/>
    </row>
    <row r="25" customFormat="false" ht="12.75" hidden="false" customHeight="false" outlineLevel="0" collapsed="false">
      <c r="B25" s="751"/>
      <c r="C25" s="751"/>
      <c r="D25" s="751"/>
      <c r="E25" s="751"/>
      <c r="F25" s="751"/>
      <c r="G25" s="751"/>
    </row>
    <row r="26" customFormat="false" ht="12.75" hidden="false" customHeight="false" outlineLevel="0" collapsed="false">
      <c r="B26" s="751"/>
      <c r="C26" s="751"/>
      <c r="D26" s="751"/>
      <c r="E26" s="751"/>
      <c r="F26" s="751"/>
      <c r="G26" s="751"/>
    </row>
    <row r="27" customFormat="false" ht="12.75" hidden="false" customHeight="false" outlineLevel="0" collapsed="false">
      <c r="B27" s="95"/>
      <c r="C27" s="95"/>
      <c r="D27" s="95"/>
      <c r="E27" s="95"/>
      <c r="F27" s="95"/>
      <c r="G27" s="95"/>
    </row>
    <row r="28" customFormat="false" ht="12.75" hidden="false" customHeight="true" outlineLevel="0" collapsed="false">
      <c r="B28" s="754"/>
      <c r="C28" s="754"/>
      <c r="D28" s="755" t="s">
        <v>1052</v>
      </c>
      <c r="E28" s="755" t="str">
        <f aca="true" t="array" ref="E28:E28">"Evolução da "&amp;RRE.Numero&amp;"ª Medição"</f>
        <v>Evolução da 1ª Medição</v>
      </c>
      <c r="F28" s="756" t="s">
        <v>1053</v>
      </c>
      <c r="G28" s="756"/>
    </row>
    <row r="29" customFormat="false" ht="12.75" hidden="false" customHeight="false" outlineLevel="0" collapsed="false">
      <c r="B29" s="754"/>
      <c r="C29" s="754"/>
      <c r="D29" s="755"/>
      <c r="E29" s="755"/>
      <c r="F29" s="756"/>
      <c r="G29" s="756"/>
    </row>
    <row r="30" customFormat="false" ht="12.75" hidden="false" customHeight="false" outlineLevel="0" collapsed="false">
      <c r="B30" s="757" t="str">
        <f aca="false">IF(import.recurso="FGTS","Financiamento:","Repasse:")</f>
        <v>Repasse:</v>
      </c>
      <c r="C30" s="757"/>
      <c r="D30" s="758" t="n">
        <f aca="false">RRE!L25</f>
        <v>0</v>
      </c>
      <c r="E30" s="758" t="n">
        <f aca="false">RRE!N25</f>
        <v>0</v>
      </c>
      <c r="F30" s="759" t="n">
        <f aca="false">RRE!O25</f>
        <v>0</v>
      </c>
      <c r="G30" s="759"/>
    </row>
    <row r="31" customFormat="false" ht="12.75" hidden="false" customHeight="false" outlineLevel="0" collapsed="false">
      <c r="B31" s="757" t="s">
        <v>1054</v>
      </c>
      <c r="C31" s="757"/>
      <c r="D31" s="758" t="n">
        <f aca="false">RRE!L26</f>
        <v>0</v>
      </c>
      <c r="E31" s="758" t="n">
        <f aca="false">RRE!N26</f>
        <v>0</v>
      </c>
      <c r="F31" s="759" t="n">
        <f aca="false">RRE!O26</f>
        <v>0</v>
      </c>
      <c r="G31" s="759"/>
    </row>
    <row r="32" customFormat="false" ht="12.75" hidden="false" customHeight="false" outlineLevel="0" collapsed="false">
      <c r="B32" s="757" t="s">
        <v>940</v>
      </c>
      <c r="C32" s="757"/>
      <c r="D32" s="758" t="n">
        <f aca="false">RRE!L27</f>
        <v>0</v>
      </c>
      <c r="E32" s="758" t="n">
        <f aca="false">RRE!N27</f>
        <v>0</v>
      </c>
      <c r="F32" s="759" t="n">
        <f aca="false">RRE!O27</f>
        <v>0</v>
      </c>
      <c r="G32" s="759"/>
    </row>
    <row r="33" customFormat="false" ht="12.75" hidden="false" customHeight="false" outlineLevel="0" collapsed="false">
      <c r="B33" s="757" t="s">
        <v>941</v>
      </c>
      <c r="C33" s="757"/>
      <c r="D33" s="758" t="n">
        <f aca="false">RRE!L28</f>
        <v>0</v>
      </c>
      <c r="E33" s="758" t="n">
        <f aca="false">RRE!N28</f>
        <v>0</v>
      </c>
      <c r="F33" s="759" t="n">
        <f aca="false">RRE!O28</f>
        <v>0</v>
      </c>
      <c r="G33" s="759"/>
    </row>
    <row r="34" customFormat="false" ht="12.75" hidden="false" customHeight="false" outlineLevel="0" collapsed="false">
      <c r="B34" s="760" t="s">
        <v>1055</v>
      </c>
      <c r="C34" s="760"/>
      <c r="D34" s="761" t="s">
        <v>750</v>
      </c>
      <c r="E34" s="762" t="n">
        <f aca="false">RRE!$N$28/(RRE!$L$28+10^-12)</f>
        <v>0</v>
      </c>
      <c r="F34" s="763" t="n">
        <f aca="false">RRE!P24</f>
        <v>0</v>
      </c>
      <c r="G34" s="763"/>
    </row>
    <row r="35" customFormat="false" ht="12.75" hidden="false" customHeight="false" outlineLevel="0" collapsed="false">
      <c r="B35" s="260"/>
      <c r="C35" s="95"/>
      <c r="D35" s="95"/>
      <c r="E35" s="95"/>
      <c r="F35" s="95"/>
      <c r="G35" s="95"/>
    </row>
    <row r="36" customFormat="false" ht="12.75" hidden="false" customHeight="false" outlineLevel="0" collapsed="false">
      <c r="B36" s="260"/>
      <c r="C36" s="260"/>
      <c r="D36" s="260"/>
      <c r="E36" s="260"/>
      <c r="F36" s="260"/>
      <c r="G36" s="95"/>
    </row>
    <row r="37" customFormat="false" ht="12.75" hidden="false" customHeight="false" outlineLevel="0" collapsed="false">
      <c r="B37" s="764" t="str">
        <f aca="true" t="array" ref="B37:B37">IF(RRE.Numero&gt;1,"2. Encaminhamos ainda a documentação relativa à prestação de contas da etapa físico-financeira anterior.","")</f>
        <v/>
      </c>
      <c r="C37" s="764"/>
      <c r="D37" s="764"/>
      <c r="E37" s="764"/>
      <c r="F37" s="764"/>
      <c r="G37" s="764"/>
    </row>
    <row r="38" customFormat="false" ht="12.75" hidden="false" customHeight="false" outlineLevel="0" collapsed="false">
      <c r="B38" s="764"/>
      <c r="C38" s="764"/>
      <c r="D38" s="764"/>
      <c r="E38" s="764"/>
      <c r="F38" s="764"/>
      <c r="G38" s="764"/>
    </row>
    <row r="39" customFormat="false" ht="12.75" hidden="false" customHeight="true" outlineLevel="0" collapsed="false">
      <c r="B39" s="764" t="str">
        <f aca="true" t="array" ref="B39:B39">IF(AND(RRE.Numero&gt;1,NOT(ISBLANK(Import.TransfereGOV))),"3. Na oportunidade, informamos que a execução financeira da parcela anterior está devidamente comprovada no TransfereGOV.","")</f>
        <v/>
      </c>
      <c r="C39" s="764"/>
      <c r="D39" s="764"/>
      <c r="E39" s="764"/>
      <c r="F39" s="764"/>
      <c r="G39" s="764"/>
    </row>
    <row r="40" customFormat="false" ht="12.75" hidden="false" customHeight="false" outlineLevel="0" collapsed="false">
      <c r="B40" s="764"/>
      <c r="C40" s="764"/>
      <c r="D40" s="764"/>
      <c r="E40" s="764"/>
      <c r="F40" s="764"/>
      <c r="G40" s="764"/>
    </row>
    <row r="41" customFormat="false" ht="12.75" hidden="false" customHeight="false" outlineLevel="0" collapsed="false">
      <c r="B41" s="765"/>
      <c r="C41" s="749"/>
      <c r="D41" s="749"/>
      <c r="E41" s="749"/>
      <c r="F41" s="749"/>
      <c r="G41" s="749"/>
    </row>
    <row r="42" customFormat="false" ht="12.75" hidden="false" customHeight="true" outlineLevel="0" collapsed="false">
      <c r="B42" s="764" t="str">
        <f aca="false">IF($B$37="",0,1)+IF($B$39="",0,1)+2&amp;". Informamos também a manutenção da Placa de Obra em local visível e de acordo com padrão estabelecido pela Presidência da República, constante do Manual Visual de Placas e Adesivos de Obra."</f>
        <v>2. Informamos também a manutenção da Placa de Obra em local visível e de acordo com padrão estabelecido pela Presidência da República, constante do Manual Visual de Placas e Adesivos de Obra.</v>
      </c>
      <c r="C42" s="764"/>
      <c r="D42" s="764"/>
      <c r="E42" s="764"/>
      <c r="F42" s="764"/>
      <c r="G42" s="764"/>
    </row>
    <row r="43" customFormat="false" ht="12.75" hidden="false" customHeight="false" outlineLevel="0" collapsed="false">
      <c r="B43" s="764"/>
      <c r="C43" s="764"/>
      <c r="D43" s="764"/>
      <c r="E43" s="764"/>
      <c r="F43" s="764"/>
      <c r="G43" s="764"/>
    </row>
    <row r="44" customFormat="false" ht="12.75" hidden="false" customHeight="false" outlineLevel="0" collapsed="false">
      <c r="B44" s="764"/>
      <c r="C44" s="764"/>
      <c r="D44" s="764"/>
      <c r="E44" s="764"/>
      <c r="F44" s="764"/>
      <c r="G44" s="764"/>
    </row>
    <row r="45" customFormat="false" ht="12.75" hidden="false" customHeight="false" outlineLevel="0" collapsed="false">
      <c r="B45" s="764"/>
      <c r="C45" s="764"/>
      <c r="D45" s="764"/>
      <c r="E45" s="764"/>
      <c r="F45" s="764"/>
      <c r="G45" s="764"/>
    </row>
    <row r="46" customFormat="false" ht="12.75" hidden="false" customHeight="false" outlineLevel="0" collapsed="false">
      <c r="B46" s="764"/>
      <c r="C46" s="764"/>
      <c r="D46" s="764"/>
      <c r="E46" s="764"/>
      <c r="F46" s="764"/>
      <c r="G46" s="764"/>
    </row>
    <row r="47" customFormat="false" ht="12.75" hidden="false" customHeight="false" outlineLevel="0" collapsed="false">
      <c r="G47" s="526"/>
    </row>
    <row r="48" customFormat="false" ht="12.75" hidden="false" customHeight="false" outlineLevel="0" collapsed="false">
      <c r="G48" s="526"/>
    </row>
    <row r="49" customFormat="false" ht="12.75" hidden="false" customHeight="false" outlineLevel="0" collapsed="false">
      <c r="B49" s="95" t="s">
        <v>1056</v>
      </c>
      <c r="G49" s="526"/>
    </row>
    <row r="50" customFormat="false" ht="12.75" hidden="false" customHeight="false" outlineLevel="0" collapsed="false">
      <c r="B50" s="526"/>
      <c r="C50" s="526"/>
      <c r="D50" s="526"/>
      <c r="E50" s="526"/>
      <c r="F50" s="526"/>
      <c r="G50" s="526"/>
    </row>
    <row r="51" customFormat="false" ht="12.75" hidden="false" customHeight="false" outlineLevel="0" collapsed="false">
      <c r="B51" s="95"/>
      <c r="C51" s="95"/>
      <c r="D51" s="95"/>
      <c r="E51" s="95"/>
      <c r="F51" s="95"/>
      <c r="G51" s="95"/>
    </row>
    <row r="52" customFormat="false" ht="12.75" hidden="false" customHeight="false" outlineLevel="0" collapsed="false">
      <c r="B52" s="95"/>
      <c r="C52" s="95"/>
      <c r="D52" s="95"/>
      <c r="E52" s="95"/>
      <c r="F52" s="95"/>
      <c r="G52" s="95"/>
    </row>
    <row r="53" customFormat="false" ht="12.75" hidden="false" customHeight="false" outlineLevel="0" collapsed="false">
      <c r="B53" s="766"/>
      <c r="C53" s="766"/>
      <c r="D53" s="766"/>
      <c r="E53" s="95"/>
      <c r="F53" s="95"/>
      <c r="G53" s="95"/>
    </row>
    <row r="54" customFormat="false" ht="12.75" hidden="false" customHeight="false" outlineLevel="0" collapsed="false">
      <c r="B54" s="767" t="str">
        <f aca="false">DADOS!$C$28</f>
        <v>JUAREZ MARQUES DA SILVA</v>
      </c>
      <c r="C54" s="767"/>
      <c r="D54" s="767"/>
      <c r="E54" s="767"/>
      <c r="F54" s="767"/>
      <c r="G54" s="767"/>
    </row>
    <row r="55" customFormat="false" ht="12.75" hidden="false" customHeight="false" outlineLevel="0" collapsed="false">
      <c r="B55" s="767" t="str">
        <f aca="false">DADOS!$C$29</f>
        <v>PREFEITO MUNICIPAL</v>
      </c>
      <c r="C55" s="767"/>
      <c r="D55" s="767"/>
      <c r="E55" s="767"/>
      <c r="F55" s="767"/>
      <c r="G55" s="767"/>
    </row>
    <row r="56" customFormat="false" ht="12.75" hidden="false" customHeight="false" outlineLevel="0" collapsed="false">
      <c r="B56" s="767"/>
      <c r="C56" s="767"/>
      <c r="D56" s="767"/>
      <c r="E56" s="767"/>
      <c r="F56" s="767"/>
      <c r="G56" s="767"/>
    </row>
  </sheetData>
  <sheetProtection algorithmName="SHA-512" hashValue="+r3kfSJp4UBb4yLolX0tUHBk8pXXgqkO+JpugV2C4RhXx5mDgk8noml9JjjGSwkQW+KM8YBCGrNuPGFr+yua/g==" saltValue="4/EiVKigRPL2UYjb2ULM6g==" spinCount="100000" sheet="true" objects="true" scenarios="true" autoFilter="false"/>
  <mergeCells count="30">
    <mergeCell ref="B1:C4"/>
    <mergeCell ref="C6:D6"/>
    <mergeCell ref="B8:G8"/>
    <mergeCell ref="B10:D10"/>
    <mergeCell ref="C11:D11"/>
    <mergeCell ref="C14:G14"/>
    <mergeCell ref="C15:G16"/>
    <mergeCell ref="C18:G18"/>
    <mergeCell ref="B19:B20"/>
    <mergeCell ref="C19:G20"/>
    <mergeCell ref="B24:G26"/>
    <mergeCell ref="B28:C29"/>
    <mergeCell ref="D28:D29"/>
    <mergeCell ref="E28:E29"/>
    <mergeCell ref="F28:G29"/>
    <mergeCell ref="B30:C30"/>
    <mergeCell ref="F30:G30"/>
    <mergeCell ref="B31:C31"/>
    <mergeCell ref="F31:G31"/>
    <mergeCell ref="B32:C32"/>
    <mergeCell ref="F32:G32"/>
    <mergeCell ref="B33:C33"/>
    <mergeCell ref="F33:G33"/>
    <mergeCell ref="B34:C34"/>
    <mergeCell ref="F34:G34"/>
    <mergeCell ref="B37:G38"/>
    <mergeCell ref="B39:G40"/>
    <mergeCell ref="B42:G46"/>
    <mergeCell ref="B54:G54"/>
    <mergeCell ref="B55:G56"/>
  </mergeCells>
  <conditionalFormatting sqref="D30:D33 F30:G33">
    <cfRule type="cellIs" priority="2" operator="notBetween" aboveAverage="0" equalAverage="0" bottom="0" percent="0" rank="0" text="" dxfId="517">
      <formula>0</formula>
      <formula>D$33</formula>
    </cfRule>
  </conditionalFormatting>
  <dataValidations count="1">
    <dataValidation allowBlank="true" errorStyle="stop" operator="between" showDropDown="false" showErrorMessage="true" showInputMessage="false" sqref="B11" type="list">
      <formula1>"GIGOV,SR"</formula1>
      <formula2>0</formula2>
    </dataValidation>
  </dataValidations>
  <printOptions headings="false" gridLines="false" gridLinesSet="true" horizontalCentered="false" verticalCentered="false"/>
  <pageMargins left="0.7875" right="0.7875" top="0.786805555555556" bottom="0.786805555555556" header="5.70833333333333" footer="0.590277777777778"/>
  <pageSetup paperSize="9" scale="97"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2"/>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9.1484375" defaultRowHeight="15" customHeight="false" zeroHeight="false" outlineLevelRow="0" outlineLevelCol="0"/>
  <cols>
    <col collapsed="false" customWidth="true" hidden="false" outlineLevel="0" max="1" min="1" style="768" width="15"/>
    <col collapsed="false" customWidth="true" hidden="false" outlineLevel="0" max="2" min="2" style="768" width="25"/>
    <col collapsed="false" customWidth="true" hidden="false" outlineLevel="0" max="3" min="3" style="768" width="12"/>
    <col collapsed="false" customWidth="true" hidden="false" outlineLevel="0" max="4" min="4" style="769" width="15.57"/>
    <col collapsed="false" customWidth="true" hidden="false" outlineLevel="0" max="5" min="5" style="768" width="70"/>
    <col collapsed="false" customWidth="true" hidden="false" outlineLevel="0" max="6" min="6" style="768" width="20"/>
    <col collapsed="false" customWidth="true" hidden="false" outlineLevel="0" max="7" min="7" style="768" width="10"/>
    <col collapsed="false" customWidth="true" hidden="false" outlineLevel="0" max="8" min="8" style="768" width="25"/>
    <col collapsed="false" customWidth="true" hidden="false" outlineLevel="0" max="9" min="9" style="768" width="15"/>
    <col collapsed="false" customWidth="true" hidden="false" outlineLevel="0" max="10" min="10" style="768" width="13"/>
    <col collapsed="false" customWidth="true" hidden="false" outlineLevel="0" max="12" min="11" style="768" width="35"/>
    <col collapsed="false" customWidth="true" hidden="false" outlineLevel="0" max="13" min="13" style="768" width="20"/>
    <col collapsed="false" customWidth="true" hidden="false" outlineLevel="0" max="14" min="14" style="768" width="15"/>
    <col collapsed="false" customWidth="true" hidden="false" outlineLevel="0" max="15" min="15" style="768" width="50"/>
    <col collapsed="false" customWidth="true" hidden="false" outlineLevel="0" max="16" min="16" style="768" width="20"/>
    <col collapsed="false" customWidth="true" hidden="false" outlineLevel="0" max="17" min="17" style="768" width="50"/>
    <col collapsed="false" customWidth="true" hidden="false" outlineLevel="0" max="18" min="18" style="768" width="15"/>
    <col collapsed="false" customWidth="true" hidden="false" outlineLevel="0" max="19" min="19" style="768" width="17.57"/>
    <col collapsed="false" customWidth="false" hidden="false" outlineLevel="0" max="16384" min="20" style="768" width="9.14"/>
  </cols>
  <sheetData>
    <row r="1" customFormat="false" ht="15" hidden="false" customHeight="false" outlineLevel="0" collapsed="false">
      <c r="A1" s="770" t="s">
        <v>1057</v>
      </c>
      <c r="B1" s="770" t="s">
        <v>1058</v>
      </c>
      <c r="C1" s="770" t="s">
        <v>808</v>
      </c>
      <c r="D1" s="771" t="s">
        <v>809</v>
      </c>
      <c r="E1" s="770" t="s">
        <v>1059</v>
      </c>
      <c r="F1" s="770" t="s">
        <v>1060</v>
      </c>
      <c r="G1" s="770" t="s">
        <v>1061</v>
      </c>
      <c r="H1" s="770" t="s">
        <v>1062</v>
      </c>
      <c r="I1" s="770" t="s">
        <v>1063</v>
      </c>
      <c r="J1" s="770" t="s">
        <v>23</v>
      </c>
      <c r="K1" s="770" t="s">
        <v>1064</v>
      </c>
      <c r="L1" s="770" t="s">
        <v>1065</v>
      </c>
      <c r="M1" s="770" t="s">
        <v>1066</v>
      </c>
      <c r="N1" s="770" t="s">
        <v>1067</v>
      </c>
      <c r="O1" s="770" t="s">
        <v>1068</v>
      </c>
      <c r="P1" s="770" t="s">
        <v>1069</v>
      </c>
      <c r="Q1" s="770" t="s">
        <v>1070</v>
      </c>
      <c r="R1" s="770" t="s">
        <v>1071</v>
      </c>
      <c r="S1" s="770" t="s">
        <v>1072</v>
      </c>
    </row>
    <row r="2" customFormat="false" ht="45" hidden="false" customHeight="true" outlineLevel="0" collapsed="false">
      <c r="A2" s="772"/>
      <c r="B2" s="772"/>
      <c r="C2" s="772"/>
      <c r="D2" s="772"/>
      <c r="E2" s="772"/>
      <c r="F2" s="773"/>
      <c r="G2" s="772"/>
      <c r="H2" s="774"/>
      <c r="I2" s="774"/>
      <c r="J2" s="775"/>
      <c r="K2" s="776"/>
      <c r="L2" s="777"/>
      <c r="M2" s="772"/>
      <c r="N2" s="778"/>
      <c r="O2" s="772"/>
      <c r="P2" s="778"/>
      <c r="Q2" s="772"/>
      <c r="R2" s="779"/>
      <c r="S2" s="776"/>
    </row>
  </sheetData>
  <sheetProtection algorithmName="SHA-512" hashValue="DP/sE0qVYRuAiAaTZ2cjmUUQSZi0DQyflHWWMp+crwGJQFgPJngpm21Thb+vdiGThqwkWrBqRwj3eopAS/r68A==" saltValue="bcb0Fvnku4kGYtmZvdgPPQ==" spinCount="100000" sheet="true" objects="true" scenarios="true"/>
  <conditionalFormatting sqref="R2">
    <cfRule type="expression" priority="2" aboveAverage="0" equalAverage="0" bottom="0" percent="0" rank="0" text="" dxfId="518">
      <formula>IF($A2="Macrosserviço",R2&lt;&gt;"",OR(NOT(ISNUMBER(R2)),R2&lt;&gt;ROUND(R2,2),R2&lt;=0,R2&gt;99999999.99))</formula>
    </cfRule>
  </conditionalFormatting>
  <conditionalFormatting sqref="Q2">
    <cfRule type="expression" priority="3" aboveAverage="0" equalAverage="0" bottom="0" percent="0" rank="0" text="" dxfId="519">
      <formula>IF($A2="Macrosserviço",Q2&lt;&gt;"",OR(Q2="",LEN(Q2)&gt;100))</formula>
    </cfRule>
  </conditionalFormatting>
  <conditionalFormatting sqref="P2">
    <cfRule type="expression" priority="4" aboveAverage="0" equalAverage="0" bottom="0" percent="0" rank="0" text="" dxfId="520">
      <formula>IF($A2="Macrosserviço",P2&lt;&gt;"",OR(NOT(ISNUMBER(P2)),P2&lt;&gt;ROUND(P2,0),P2&lt;1,P2&gt;999))</formula>
    </cfRule>
  </conditionalFormatting>
  <conditionalFormatting sqref="O2">
    <cfRule type="expression" priority="5" aboveAverage="0" equalAverage="0" bottom="0" percent="0" rank="0" text="" dxfId="521">
      <formula>IF($A2="Serviço",OR(O2="",LEN(O2)&gt;100),O2&lt;&gt;"")</formula>
    </cfRule>
  </conditionalFormatting>
  <conditionalFormatting sqref="N2">
    <cfRule type="expression" priority="6" aboveAverage="0" equalAverage="0" bottom="0" percent="0" rank="0" text="" dxfId="522">
      <formula>IF($A2="Serviço",OR(NOT(ISNUMBER(N2)),N2&lt;&gt;ROUND(N2,0),N2&lt;1,N2&gt;999),N2&lt;&gt;"")</formula>
    </cfRule>
  </conditionalFormatting>
  <conditionalFormatting sqref="J2">
    <cfRule type="expression" priority="7" aboveAverage="0" equalAverage="0" bottom="0" percent="0" rank="0" text="" dxfId="523">
      <formula>IF($A2="Serviço",OR(NOT(ISNUMBER(VALUE(J2))),VALUE(J2)&lt;&gt;ROUND(VALUE(J2),4),VALUE(J2)&lt;=0,VALUE(J2)&gt;100%),J2&lt;&gt;"")</formula>
    </cfRule>
  </conditionalFormatting>
  <conditionalFormatting sqref="I2">
    <cfRule type="expression" priority="8" aboveAverage="0" equalAverage="0" bottom="0" percent="0" rank="0" text="" dxfId="524">
      <formula>IF($A2="Serviço",OR(NOT(ISNUMBER(I2)),I2&lt;&gt;ROUND(I2,2),I2&lt;=0,I2&gt;9999999999.99,AND(I2&gt;H2,H2&gt;0)),I2&lt;&gt;"")</formula>
    </cfRule>
  </conditionalFormatting>
  <conditionalFormatting sqref="H2">
    <cfRule type="expression" priority="9" aboveAverage="0" equalAverage="0" bottom="0" percent="0" rank="0" text="" dxfId="525">
      <formula>IF(A2="Serviço",OR(NOT(ISNUMBER(H2)),H2&lt;&gt;ROUND(H2,2),AND(C2&lt;&gt;"SINAPI",H2=0),H2&lt;0,H2&gt;9999999999.99),H2&lt;&gt;"")</formula>
    </cfRule>
  </conditionalFormatting>
  <conditionalFormatting sqref="D2">
    <cfRule type="expression" priority="10" aboveAverage="0" equalAverage="0" bottom="0" percent="0" rank="0" text="" dxfId="526">
      <formula>IF($A2="Serviço",OR(D2="",LEN($D2)&gt;13),D2&lt;&gt;"")</formula>
    </cfRule>
  </conditionalFormatting>
  <conditionalFormatting sqref="C2">
    <cfRule type="expression" priority="11" aboveAverage="0" equalAverage="0" bottom="0" percent="0" rank="0" text="" dxfId="527">
      <formula>IF($A2="Serviço",AND(C2&lt;&gt;"Composição",C2&lt;&gt;"Cotação",C2&lt;&gt;"SINAPI",C2&lt;&gt;"Outros"),C2&lt;&gt;"")</formula>
    </cfRule>
  </conditionalFormatting>
  <conditionalFormatting sqref="A2">
    <cfRule type="expression" priority="12" aboveAverage="0" equalAverage="0" bottom="0" percent="0" rank="0" text="" dxfId="528">
      <formula>AND(A2&lt;&gt;"Macrosserviço",A2&lt;&gt;"Serviço",A2&lt;&gt;"")</formula>
    </cfRule>
  </conditionalFormatting>
  <conditionalFormatting sqref="A2:S2">
    <cfRule type="expression" priority="13" aboveAverage="0" equalAverage="0" bottom="0" percent="0" rank="0" text="" dxfId="529">
      <formula>$A2="Macrosserviço"</formula>
    </cfRule>
  </conditionalFormatting>
  <conditionalFormatting sqref="M2">
    <cfRule type="expression" priority="14" aboveAverage="0" equalAverage="0" bottom="0" percent="0" rank="0" text="" dxfId="530">
      <formula>IF($A2="Serviço",LEN(M2)&gt;500,M2&lt;&gt;"")</formula>
    </cfRule>
  </conditionalFormatting>
  <conditionalFormatting sqref="E2">
    <cfRule type="expression" priority="15" aboveAverage="0" equalAverage="0" bottom="0" percent="0" rank="0" text="" dxfId="531">
      <formula>IF($A2="Macrosserviço",LEN($E2)&gt;100,LEN($E2)&gt;500)</formula>
    </cfRule>
  </conditionalFormatting>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extLst>
    <ext xmlns:x14="http://schemas.microsoft.com/office/spreadsheetml/2009/9/main" uri="{78C0D931-6437-407d-A8EE-F0AAD7539E65}">
      <x14:conditionalFormattings>
        <x14:conditionalFormatting xmlns:xm="http://schemas.microsoft.com/office/excel/2006/main">
          <x14:cfRule type="expression" priority="16" id="{EA51A1E9-96CF-4D1D-A951-3D00A6E025BF}">
            <xm:f>AND($A2="Serviço",OR($G2="",ISNA(MATCH($G2,DADOS!$AV$3:$AV$221,0))))</xm:f>
            <x14:dxf>
              <fill>
                <patternFill>
                  <bgColor rgb="FFFF0000"/>
                </patternFill>
              </fill>
            </x14:dxf>
          </x14:cfRule>
          <xm:sqref>G2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1" activeCellId="0" sqref="A1"/>
    </sheetView>
  </sheetViews>
  <sheetFormatPr defaultColWidth="9.1484375" defaultRowHeight="15" customHeight="false" zeroHeight="false" outlineLevelRow="0" outlineLevelCol="0"/>
  <cols>
    <col collapsed="false" customWidth="true" hidden="false" outlineLevel="0" max="1" min="1" style="768" width="15"/>
    <col collapsed="false" customWidth="true" hidden="false" outlineLevel="0" max="2" min="2" style="768" width="50"/>
    <col collapsed="false" customWidth="true" hidden="false" outlineLevel="0" max="3" min="3" style="768" width="20"/>
    <col collapsed="false" customWidth="true" hidden="false" outlineLevel="0" max="4" min="4" style="768" width="50"/>
    <col collapsed="false" customWidth="true" hidden="false" outlineLevel="0" max="5" min="5" style="768" width="35"/>
    <col collapsed="false" customWidth="false" hidden="false" outlineLevel="0" max="16384" min="6" style="768" width="9.14"/>
  </cols>
  <sheetData>
    <row r="1" customFormat="false" ht="15" hidden="false" customHeight="false" outlineLevel="0" collapsed="false">
      <c r="A1" s="770" t="s">
        <v>1073</v>
      </c>
      <c r="B1" s="770" t="s">
        <v>879</v>
      </c>
      <c r="C1" s="770" t="s">
        <v>1074</v>
      </c>
      <c r="D1" s="770" t="s">
        <v>1070</v>
      </c>
      <c r="E1" s="770" t="s">
        <v>1075</v>
      </c>
    </row>
    <row r="2" customFormat="false" ht="45" hidden="false" customHeight="true" outlineLevel="0" collapsed="false">
      <c r="A2" s="780"/>
      <c r="B2" s="780"/>
      <c r="C2" s="780"/>
      <c r="D2" s="780"/>
      <c r="E2" s="780"/>
    </row>
  </sheetData>
  <sheetProtection algorithmName="SHA-512" hashValue="uDcop0r63Qhkl//sA1xTovTwfnphQxeIqqrEHwKx2neeHkLXbpmKA+/96KnrVKd4EId78M0g0JaaWt+2oziygw==" saltValue="jminM0oBwyHevylHVubqnA==" spinCount="100000" sheet="true" objects="true" scenarios="true"/>
  <conditionalFormatting sqref="E2">
    <cfRule type="expression" priority="2" aboveAverage="0" equalAverage="0" bottom="0" percent="0" rank="0" text="" dxfId="533">
      <formula>OR(NOT(ISNUMBER(E2)),E2&lt;&gt;ROUND(E2,0),E2&lt;1,E2&gt;120)</formula>
    </cfRule>
  </conditionalFormatting>
  <conditionalFormatting sqref="D2">
    <cfRule type="expression" priority="3" aboveAverage="0" equalAverage="0" bottom="0" percent="0" rank="0" text="" dxfId="534">
      <formula>OR(D2="",LEN(D2)&gt;100)</formula>
    </cfRule>
  </conditionalFormatting>
  <conditionalFormatting sqref="C2">
    <cfRule type="expression" priority="4" aboveAverage="0" equalAverage="0" bottom="0" percent="0" rank="0" text="" dxfId="535">
      <formula>OR(NOT(ISNUMBER(C2)),C2&lt;&gt;ROUND(C2,0),C2&lt;1,C2&gt;999)</formula>
    </cfRule>
  </conditionalFormatting>
  <conditionalFormatting sqref="B2">
    <cfRule type="expression" priority="5" aboveAverage="0" equalAverage="0" bottom="0" percent="0" rank="0" text="" dxfId="536">
      <formula>OR(B2="",LEN(B2)&gt;100)</formula>
    </cfRule>
  </conditionalFormatting>
  <conditionalFormatting sqref="A2">
    <cfRule type="expression" priority="6" aboveAverage="0" equalAverage="0" bottom="0" percent="0" rank="0" text="" dxfId="537">
      <formula>OR(NOT(ISNUMBER(A2)),A2&lt;&gt;ROUND(A2,0),A2&lt;1,A2&gt;999)</formula>
    </cfRule>
  </conditionalFormatting>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2"/>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9.1484375" defaultRowHeight="15" customHeight="false" zeroHeight="false" outlineLevelRow="0" outlineLevelCol="0"/>
  <cols>
    <col collapsed="false" customWidth="true" hidden="false" outlineLevel="0" max="1" min="1" style="768" width="15"/>
    <col collapsed="false" customWidth="true" hidden="false" outlineLevel="0" max="2" min="2" style="768" width="25"/>
    <col collapsed="false" customWidth="true" hidden="false" outlineLevel="0" max="3" min="3" style="768" width="12"/>
    <col collapsed="false" customWidth="true" hidden="false" outlineLevel="0" max="4" min="4" style="769" width="15.57"/>
    <col collapsed="false" customWidth="true" hidden="false" outlineLevel="0" max="5" min="5" style="768" width="70"/>
    <col collapsed="false" customWidth="true" hidden="false" outlineLevel="0" max="6" min="6" style="768" width="20"/>
    <col collapsed="false" customWidth="true" hidden="false" outlineLevel="0" max="7" min="7" style="768" width="10"/>
    <col collapsed="false" customWidth="true" hidden="false" outlineLevel="0" max="8" min="8" style="768" width="25"/>
    <col collapsed="false" customWidth="true" hidden="false" outlineLevel="0" max="9" min="9" style="768" width="15"/>
    <col collapsed="false" customWidth="true" hidden="false" outlineLevel="0" max="10" min="10" style="768" width="13"/>
    <col collapsed="false" customWidth="true" hidden="false" outlineLevel="0" max="12" min="11" style="768" width="35"/>
    <col collapsed="false" customWidth="true" hidden="false" outlineLevel="0" max="14" min="13" style="768" width="20"/>
    <col collapsed="false" customWidth="true" hidden="false" outlineLevel="0" max="15" min="15" style="768" width="50"/>
    <col collapsed="false" customWidth="true" hidden="false" outlineLevel="0" max="16" min="16" style="768" width="15"/>
    <col collapsed="false" customWidth="true" hidden="false" outlineLevel="0" max="17" min="17" style="768" width="17.57"/>
    <col collapsed="false" customWidth="false" hidden="false" outlineLevel="0" max="16384" min="18" style="768" width="9.14"/>
  </cols>
  <sheetData>
    <row r="1" customFormat="false" ht="15" hidden="false" customHeight="false" outlineLevel="0" collapsed="false">
      <c r="A1" s="770" t="s">
        <v>1057</v>
      </c>
      <c r="B1" s="770" t="s">
        <v>1058</v>
      </c>
      <c r="C1" s="770" t="s">
        <v>808</v>
      </c>
      <c r="D1" s="771" t="s">
        <v>809</v>
      </c>
      <c r="E1" s="770" t="s">
        <v>1059</v>
      </c>
      <c r="F1" s="770" t="s">
        <v>1060</v>
      </c>
      <c r="G1" s="770" t="s">
        <v>1061</v>
      </c>
      <c r="H1" s="770" t="s">
        <v>1062</v>
      </c>
      <c r="I1" s="770" t="s">
        <v>1063</v>
      </c>
      <c r="J1" s="770" t="s">
        <v>23</v>
      </c>
      <c r="K1" s="770" t="s">
        <v>1064</v>
      </c>
      <c r="L1" s="770" t="s">
        <v>1065</v>
      </c>
      <c r="M1" s="770" t="s">
        <v>1066</v>
      </c>
      <c r="N1" s="770" t="s">
        <v>1069</v>
      </c>
      <c r="O1" s="770" t="s">
        <v>1070</v>
      </c>
      <c r="P1" s="770" t="s">
        <v>1071</v>
      </c>
      <c r="Q1" s="770" t="s">
        <v>1072</v>
      </c>
    </row>
    <row r="2" customFormat="false" ht="45" hidden="false" customHeight="true" outlineLevel="0" collapsed="false">
      <c r="A2" s="772"/>
      <c r="B2" s="772"/>
      <c r="C2" s="772"/>
      <c r="D2" s="772"/>
      <c r="E2" s="772"/>
      <c r="F2" s="773"/>
      <c r="G2" s="772"/>
      <c r="H2" s="774"/>
      <c r="I2" s="774"/>
      <c r="J2" s="781"/>
      <c r="K2" s="776"/>
      <c r="L2" s="776"/>
      <c r="M2" s="772"/>
      <c r="N2" s="778"/>
      <c r="O2" s="772"/>
      <c r="P2" s="779"/>
      <c r="Q2" s="776"/>
    </row>
  </sheetData>
  <sheetProtection algorithmName="SHA-512" hashValue="AmWKGkps/9+HNgfzJ5ilwBpYYVz3XDN45R/9Lcp3+uoVL14JMsyoF6yYd/XJo8x876lM+B+vHiE83e8MJiq/oQ==" saltValue="BcJzM4QXFqmqqe8g/+76SA==" spinCount="100000" sheet="true" objects="true" scenarios="true"/>
  <conditionalFormatting sqref="P2">
    <cfRule type="expression" priority="2" aboveAverage="0" equalAverage="0" bottom="0" percent="0" rank="0" text="" dxfId="538">
      <formula>IF($A2="Macrosserviço",P2&lt;&gt;"",OR(NOT(ISNUMBER(P2)),P2&lt;&gt;ROUND(P2,2),P2&lt;=0,P2&gt;99999999.99))</formula>
    </cfRule>
  </conditionalFormatting>
  <conditionalFormatting sqref="O2">
    <cfRule type="expression" priority="3" aboveAverage="0" equalAverage="0" bottom="0" percent="0" rank="0" text="" dxfId="539">
      <formula>IF($A2="Macrosserviço",O2&lt;&gt;"",OR(O2="",LEN(O2)&gt;100))</formula>
    </cfRule>
  </conditionalFormatting>
  <conditionalFormatting sqref="N2">
    <cfRule type="expression" priority="4" aboveAverage="0" equalAverage="0" bottom="0" percent="0" rank="0" text="" dxfId="540">
      <formula>IF($A2="Macrosserviço",N2&lt;&gt;"",OR(NOT(ISNUMBER(N2)),N2&lt;&gt;ROUND(N2,0),N2&lt;1,N2&gt;999))</formula>
    </cfRule>
  </conditionalFormatting>
  <conditionalFormatting sqref="B2">
    <cfRule type="cellIs" priority="5" operator="equal" aboveAverage="0" equalAverage="0" bottom="0" percent="0" rank="0" text="" dxfId="541">
      <formula>""</formula>
    </cfRule>
  </conditionalFormatting>
  <conditionalFormatting sqref="J2">
    <cfRule type="expression" priority="6" aboveAverage="0" equalAverage="0" bottom="0" percent="0" rank="0" text="" dxfId="542">
      <formula>IF($A2="Serviço",OR(NOT(ISNUMBER(VALUE(J2))),VALUE(J2)&lt;&gt;ROUND(VALUE(J2),4),VALUE(J2)&lt;=0,VALUE(J2)&gt;100%),J2&lt;&gt;"")</formula>
    </cfRule>
  </conditionalFormatting>
  <conditionalFormatting sqref="I2">
    <cfRule type="expression" priority="7" aboveAverage="0" equalAverage="0" bottom="0" percent="0" rank="0" text="" dxfId="543">
      <formula>IF($A2="Serviço",OR(NOT(ISNUMBER(I2)),I2&lt;&gt;ROUND(I2,2),I2&lt;=0,I2&gt;9999999999.99,AND(I2&gt;H2,H2&gt;0)),I2&lt;&gt;"")</formula>
    </cfRule>
  </conditionalFormatting>
  <conditionalFormatting sqref="H2">
    <cfRule type="expression" priority="8" aboveAverage="0" equalAverage="0" bottom="0" percent="0" rank="0" text="" dxfId="544">
      <formula>IF(A2="Serviço",OR(NOT(ISNUMBER(H2)),H2&lt;&gt;ROUND(H2,2),AND(C2&lt;&gt;"SINAPI",H2=0),H2&lt;0,H2&gt;9999999999.99),H2&lt;&gt;"")</formula>
    </cfRule>
  </conditionalFormatting>
  <conditionalFormatting sqref="D2">
    <cfRule type="expression" priority="9" aboveAverage="0" equalAverage="0" bottom="0" percent="0" rank="0" text="" dxfId="545">
      <formula>IF($A2="Serviço",OR(D2="",LEN($D2)&gt;13),D2&lt;&gt;"")</formula>
    </cfRule>
  </conditionalFormatting>
  <conditionalFormatting sqref="C2">
    <cfRule type="expression" priority="10" aboveAverage="0" equalAverage="0" bottom="0" percent="0" rank="0" text="" dxfId="546">
      <formula>IF($A2="Serviço",AND(C2&lt;&gt;"Composição",C2&lt;&gt;"Cotação",C2&lt;&gt;"SINAPI",C2&lt;&gt;"Outros"),C2&lt;&gt;"")</formula>
    </cfRule>
  </conditionalFormatting>
  <conditionalFormatting sqref="A2">
    <cfRule type="expression" priority="11" aboveAverage="0" equalAverage="0" bottom="0" percent="0" rank="0" text="" dxfId="547">
      <formula>AND(A2&lt;&gt;"Macrosserviço",A2&lt;&gt;"Serviço")</formula>
    </cfRule>
  </conditionalFormatting>
  <conditionalFormatting sqref="A2:Q2">
    <cfRule type="expression" priority="12" aboveAverage="0" equalAverage="0" bottom="0" percent="0" rank="0" text="" dxfId="548">
      <formula>$A2="Macrosserviço"</formula>
    </cfRule>
  </conditionalFormatting>
  <conditionalFormatting sqref="M2">
    <cfRule type="expression" priority="13" aboveAverage="0" equalAverage="0" bottom="0" percent="0" rank="0" text="" dxfId="549">
      <formula>IF($A2="Serviço",LEN(M2)&gt;500,M2&lt;&gt;"")</formula>
    </cfRule>
  </conditionalFormatting>
  <conditionalFormatting sqref="E2">
    <cfRule type="expression" priority="14" aboveAverage="0" equalAverage="0" bottom="0" percent="0" rank="0" text="" dxfId="550">
      <formula>OR(E2="",IF($A2="Macrosserviço",LEN($E2)&gt;100,LEN($E2)&gt;500))</formula>
    </cfRule>
  </conditionalFormatting>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extLst>
    <ext xmlns:x14="http://schemas.microsoft.com/office/spreadsheetml/2009/9/main" uri="{78C0D931-6437-407d-A8EE-F0AAD7539E65}">
      <x14:conditionalFormattings>
        <x14:conditionalFormatting xmlns:xm="http://schemas.microsoft.com/office/excel/2006/main">
          <x14:cfRule type="expression" priority="15" id="{E026172E-A273-4900-A92D-9A3FA7C0F83D}">
            <xm:f>AND($A2="Serviço",OR($G2="",ISNA(MATCH($G2,DADOS!$AV$3:$AV$221,0))))</xm:f>
            <x14:dxf>
              <fill>
                <patternFill>
                  <bgColor rgb="FFFF0000"/>
                </patternFill>
              </fill>
            </x14:dxf>
          </x14:cfRule>
          <xm:sqref>G2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1" activeCellId="0" sqref="A1"/>
    </sheetView>
  </sheetViews>
  <sheetFormatPr defaultColWidth="9.1484375" defaultRowHeight="15" customHeight="false" zeroHeight="false" outlineLevelRow="0" outlineLevelCol="0"/>
  <cols>
    <col collapsed="false" customWidth="true" hidden="false" outlineLevel="0" max="1" min="1" style="768" width="15"/>
    <col collapsed="false" customWidth="true" hidden="false" outlineLevel="0" max="2" min="2" style="768" width="70"/>
    <col collapsed="false" customWidth="true" hidden="false" outlineLevel="0" max="3" min="3" style="768" width="10"/>
    <col collapsed="false" customWidth="true" hidden="false" outlineLevel="0" max="4" min="4" style="768" width="20"/>
    <col collapsed="false" customWidth="false" hidden="false" outlineLevel="0" max="16384" min="5" style="768" width="9.14"/>
  </cols>
  <sheetData>
    <row r="1" customFormat="false" ht="15" hidden="false" customHeight="false" outlineLevel="0" collapsed="false">
      <c r="A1" s="770" t="s">
        <v>1076</v>
      </c>
      <c r="B1" s="770" t="s">
        <v>1077</v>
      </c>
      <c r="C1" s="770" t="s">
        <v>919</v>
      </c>
      <c r="D1" s="770" t="s">
        <v>1078</v>
      </c>
    </row>
    <row r="2" customFormat="false" ht="45" hidden="false" customHeight="true" outlineLevel="0" collapsed="false">
      <c r="A2" s="782"/>
      <c r="B2" s="782"/>
      <c r="C2" s="780"/>
      <c r="D2" s="775"/>
    </row>
  </sheetData>
  <sheetProtection algorithmName="SHA-512" hashValue="rH4frZoazd3DTn8ftgtLDgTayTlwaC2u1+sB0S/xtCYrCO2DSr0jh/wk/fpxx3eZNNWJwWqUvaq75DGwHj/Scg==" saltValue="EP56SgM6g5VV0Pf9e6E1ng==" spinCount="100000" sheet="true" objects="true" scenarios="true"/>
  <conditionalFormatting sqref="D2">
    <cfRule type="expression" priority="2" aboveAverage="0" equalAverage="0" bottom="0" percent="0" rank="0" text="" dxfId="552">
      <formula>OR(NOT(ISNUMBER(D2)),D2&lt;&gt;ROUND(D2,2),D2&lt;=0,D2&gt;100)</formula>
    </cfRule>
  </conditionalFormatting>
  <conditionalFormatting sqref="D2">
    <cfRule type="expression" priority="3" aboveAverage="0" equalAverage="0" bottom="0" percent="0" rank="0" text="" dxfId="553">
      <formula>$A2="Macrosserviço"</formula>
    </cfRule>
  </conditionalFormatting>
  <conditionalFormatting sqref="B2">
    <cfRule type="expression" priority="4" aboveAverage="0" equalAverage="0" bottom="0" percent="0" rank="0" text="" dxfId="554">
      <formula>OR(B2="",LEN(B2)&gt;100)</formula>
    </cfRule>
  </conditionalFormatting>
  <conditionalFormatting sqref="A2 C2">
    <cfRule type="expression" priority="5" aboveAverage="0" equalAverage="0" bottom="0" percent="0" rank="0" text="" dxfId="555">
      <formula>OR(NOT(ISNUMBER(A2)),A2&lt;&gt;ROUND(A2,0),A2&lt;1,A2&gt;999)</formula>
    </cfRule>
  </conditionalFormatting>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false" showRowColHeaders="true" showZeros="true" rightToLeft="false" tabSelected="false" showOutlineSymbols="true" defaultGridColor="true" view="pageBreakPreview" topLeftCell="A1" colorId="64" zoomScale="85" zoomScaleNormal="100" zoomScalePageLayoutView="85" workbookViewId="0">
      <selection pane="topLeft" activeCell="E10" activeCellId="0" sqref="E10"/>
    </sheetView>
  </sheetViews>
  <sheetFormatPr defaultColWidth="8.6796875" defaultRowHeight="12.75" customHeight="false" zeroHeight="false" outlineLevelRow="0" outlineLevelCol="0"/>
  <cols>
    <col collapsed="false" customWidth="true" hidden="false" outlineLevel="0" max="1" min="1" style="0" width="2.86"/>
    <col collapsed="false" customWidth="true" hidden="false" outlineLevel="0" max="2" min="2" style="0" width="5.57"/>
    <col collapsed="false" customWidth="true" hidden="false" outlineLevel="0" max="3" min="3" style="0" width="38.57"/>
    <col collapsed="false" customWidth="true" hidden="false" outlineLevel="0" max="4" min="4" style="0" width="5.57"/>
    <col collapsed="false" customWidth="true" hidden="false" outlineLevel="0" max="5" min="5" style="0" width="38.57"/>
    <col collapsed="false" customWidth="true" hidden="false" outlineLevel="0" max="6" min="6" style="0" width="5.57"/>
    <col collapsed="false" customWidth="true" hidden="false" outlineLevel="0" max="7" min="7" style="0" width="38.57"/>
    <col collapsed="false" customWidth="true" hidden="false" outlineLevel="0" max="8" min="8" style="0" width="5.57"/>
    <col collapsed="false" customWidth="true" hidden="false" outlineLevel="0" max="9" min="9" style="0" width="2.86"/>
    <col collapsed="false" customWidth="true" hidden="false" outlineLevel="0" max="10" min="10" style="0" width="19"/>
    <col collapsed="false" customWidth="true" hidden="false" outlineLevel="0" max="11" min="11" style="0" width="3"/>
    <col collapsed="false" customWidth="true" hidden="false" outlineLevel="0" max="13" min="13" style="0" width="1.57"/>
    <col collapsed="false" customWidth="true" hidden="false" outlineLevel="0" max="14" min="14" style="0" width="38.86"/>
  </cols>
  <sheetData>
    <row r="1" customFormat="false" ht="15" hidden="false" customHeight="true" outlineLevel="0" collapsed="false">
      <c r="A1" s="20"/>
      <c r="B1" s="20"/>
      <c r="C1" s="20"/>
      <c r="D1" s="20"/>
      <c r="E1" s="20"/>
      <c r="F1" s="20"/>
      <c r="G1" s="20"/>
      <c r="H1" s="20"/>
      <c r="I1" s="20"/>
      <c r="J1" s="21" t="s">
        <v>120</v>
      </c>
      <c r="K1" s="22" t="b">
        <f aca="false">TRUE()</f>
        <v>1</v>
      </c>
    </row>
    <row r="2" customFormat="false" ht="22.5" hidden="false" customHeight="true" outlineLevel="0" collapsed="false">
      <c r="A2" s="20"/>
      <c r="B2" s="23"/>
      <c r="C2" s="23"/>
      <c r="D2" s="23"/>
      <c r="E2" s="24" t="str">
        <f aca="false">CHOOSE(MATCH(Objeto,{"PM","PO"}),"PLANILHA MÚLTIPLA ","PLANILHA ORÇAMENTÁRIA ")&amp; Versao</f>
        <v>PLANILHA MÚLTIPLA v3.16</v>
      </c>
      <c r="F2" s="24"/>
      <c r="G2" s="24"/>
      <c r="H2" s="25"/>
      <c r="I2" s="23"/>
      <c r="J2" s="21" t="s">
        <v>121</v>
      </c>
      <c r="K2" s="22" t="b">
        <f aca="false">TRUE()</f>
        <v>1</v>
      </c>
    </row>
    <row r="3" customFormat="false" ht="22.5" hidden="false" customHeight="true" outlineLevel="0" collapsed="false">
      <c r="A3" s="20"/>
      <c r="B3" s="23"/>
      <c r="C3" s="23"/>
      <c r="D3" s="23"/>
      <c r="E3" s="24"/>
      <c r="F3" s="24"/>
      <c r="G3" s="24"/>
      <c r="H3" s="25"/>
      <c r="I3" s="23"/>
      <c r="O3" s="26" t="n">
        <v>1</v>
      </c>
    </row>
    <row r="4" customFormat="false" ht="16.5" hidden="false" customHeight="true" outlineLevel="0" collapsed="false">
      <c r="A4" s="20"/>
      <c r="B4" s="23"/>
      <c r="C4" s="23"/>
      <c r="D4" s="23"/>
      <c r="E4" s="23"/>
      <c r="F4" s="27"/>
      <c r="G4" s="25"/>
      <c r="H4" s="25"/>
      <c r="I4" s="23"/>
      <c r="J4" s="28" t="str">
        <f aca="false">IF(VALUE(MENU!$O$4)=2,"BM","PLE")</f>
        <v>BM</v>
      </c>
      <c r="O4" s="26" t="n">
        <v>2</v>
      </c>
    </row>
    <row r="5" customFormat="false" ht="16.5" hidden="false" customHeight="true" outlineLevel="0" collapsed="false">
      <c r="A5" s="20"/>
      <c r="B5" s="23"/>
      <c r="C5" s="23"/>
      <c r="D5" s="23"/>
      <c r="E5" s="23"/>
      <c r="F5" s="27"/>
      <c r="G5" s="25"/>
      <c r="H5" s="25"/>
      <c r="I5" s="23"/>
      <c r="J5" s="28" t="s">
        <v>122</v>
      </c>
    </row>
    <row r="6" customFormat="false" ht="21" hidden="false" customHeight="true" outlineLevel="0" collapsed="false">
      <c r="A6" s="20"/>
      <c r="B6" s="20"/>
      <c r="C6" s="20"/>
      <c r="D6" s="20"/>
      <c r="E6" s="29" t="s">
        <v>123</v>
      </c>
      <c r="F6" s="30"/>
      <c r="G6" s="29" t="s">
        <v>124</v>
      </c>
      <c r="H6" s="20"/>
      <c r="I6" s="20"/>
      <c r="J6" s="28" t="s">
        <v>125</v>
      </c>
    </row>
    <row r="7" customFormat="false" ht="12.75" hidden="false" customHeight="false" outlineLevel="0" collapsed="false">
      <c r="A7" s="20"/>
      <c r="B7" s="20"/>
      <c r="C7" s="20"/>
      <c r="D7" s="20"/>
      <c r="E7" s="20"/>
      <c r="F7" s="20"/>
      <c r="G7" s="20"/>
      <c r="H7" s="20"/>
      <c r="I7" s="20"/>
      <c r="J7" s="28" t="s">
        <v>76</v>
      </c>
      <c r="K7" s="31"/>
      <c r="L7" s="32"/>
      <c r="M7" s="32"/>
      <c r="N7" s="33"/>
    </row>
    <row r="8" customFormat="false" ht="21" hidden="false" customHeight="true" outlineLevel="0" collapsed="false">
      <c r="A8" s="23"/>
      <c r="B8" s="34" t="str">
        <f aca="false">IF($O$3&lt;&gt;2,"DOCUMENTAÇÃO DA PROPOSTA","PROPOSTA: Para visualizar/preencher esta seção, altere o TIPO DE ORÇAMENTO para 'Proposto'")</f>
        <v>DOCUMENTAÇÃO DA PROPOSTA</v>
      </c>
      <c r="C8" s="34"/>
      <c r="D8" s="34"/>
      <c r="E8" s="34"/>
      <c r="F8" s="34"/>
      <c r="G8" s="34"/>
      <c r="H8" s="34"/>
      <c r="I8" s="20"/>
      <c r="J8" s="28" t="s">
        <v>78</v>
      </c>
      <c r="K8" s="35"/>
      <c r="L8" s="36" t="s">
        <v>126</v>
      </c>
      <c r="M8" s="36"/>
      <c r="N8" s="8"/>
    </row>
    <row r="9" customFormat="false" ht="12.75" hidden="false" customHeight="false" outlineLevel="0" collapsed="false">
      <c r="A9" s="20"/>
      <c r="B9" s="20"/>
      <c r="C9" s="20"/>
      <c r="D9" s="20"/>
      <c r="E9" s="20"/>
      <c r="F9" s="20"/>
      <c r="G9" s="20"/>
      <c r="H9" s="20"/>
      <c r="I9" s="20"/>
      <c r="K9" s="35"/>
      <c r="L9" s="0" t="s">
        <v>127</v>
      </c>
      <c r="N9" s="8"/>
    </row>
    <row r="10" customFormat="false" ht="21" hidden="false" customHeight="true" outlineLevel="0" collapsed="false">
      <c r="A10" s="20"/>
      <c r="B10" s="20"/>
      <c r="C10" s="37" t="str">
        <f aca="false" t="array" ref="C10:C10">IF(TIPOORCAMENTO&lt;&gt;"Proposto","","                    BDI                    ")</f>
        <v>                    BDI                    </v>
      </c>
      <c r="D10" s="30"/>
      <c r="E10" s="37" t="str">
        <f aca="false" t="array" ref="E10:E10">IF(TIPOORCAMENTO&lt;&gt;"Proposto","","             ORÇAMENTO             ")</f>
        <v>             ORÇAMENTO             </v>
      </c>
      <c r="F10" s="30"/>
      <c r="G10" s="38" t="str">
        <f aca="false" t="array" ref="G10:G10">IF(TIPOORCAMENTO&lt;&gt;"Proposto","","MEMÓRIA DE CÁLCULO / PLQ")</f>
        <v>MEMÓRIA DE CÁLCULO / PLQ</v>
      </c>
      <c r="H10" s="20"/>
      <c r="I10" s="20"/>
      <c r="K10" s="35"/>
      <c r="L10" s="39"/>
      <c r="M10" s="7"/>
      <c r="N10" s="40" t="s">
        <v>128</v>
      </c>
    </row>
    <row r="11" customFormat="false" ht="12.75" hidden="false" customHeight="false" outlineLevel="0" collapsed="false">
      <c r="A11" s="20"/>
      <c r="B11" s="20"/>
      <c r="C11" s="30"/>
      <c r="D11" s="30"/>
      <c r="E11" s="30"/>
      <c r="F11" s="30"/>
      <c r="G11" s="30"/>
      <c r="H11" s="20"/>
      <c r="I11" s="20"/>
      <c r="K11" s="35"/>
      <c r="N11" s="8"/>
    </row>
    <row r="12" customFormat="false" ht="21" hidden="false" customHeight="true" outlineLevel="0" collapsed="false">
      <c r="A12" s="20"/>
      <c r="B12" s="20"/>
      <c r="C12" s="37" t="str">
        <f aca="false" t="array" ref="C12:C12">IF(TIPOORCAMENTO&lt;&gt;"Proposto","","                    QCI                    ")</f>
        <v>                    QCI                    </v>
      </c>
      <c r="D12" s="30"/>
      <c r="E12" s="41" t="str">
        <f aca="false" t="array" ref="E12:E12">IF(TIPOORCAMENTO&lt;&gt;"Proposto","","CRONOGRAMA FÍSICO-FINANCEIRO")</f>
        <v>CRONOGRAMA FÍSICO-FINANCEIRO</v>
      </c>
      <c r="F12" s="30"/>
      <c r="G12" s="30"/>
      <c r="H12" s="20"/>
      <c r="I12" s="20"/>
      <c r="K12" s="35"/>
      <c r="L12" s="42"/>
      <c r="M12" s="7"/>
      <c r="N12" s="40" t="s">
        <v>129</v>
      </c>
    </row>
    <row r="13" customFormat="false" ht="12.75" hidden="false" customHeight="false" outlineLevel="0" collapsed="false">
      <c r="A13" s="20"/>
      <c r="B13" s="20"/>
      <c r="C13" s="20"/>
      <c r="D13" s="20"/>
      <c r="E13" s="20"/>
      <c r="F13" s="20"/>
      <c r="G13" s="20"/>
      <c r="H13" s="20"/>
      <c r="I13" s="20"/>
      <c r="K13" s="35"/>
      <c r="N13" s="8"/>
    </row>
    <row r="14" customFormat="false" ht="12.75" hidden="false" customHeight="false" outlineLevel="0" collapsed="false">
      <c r="A14" s="20"/>
      <c r="B14" s="20"/>
      <c r="C14" s="20" t="str">
        <f aca="true" t="array" ref="C14:C14">IF(TIPOORCAMENTO&lt;&gt;"Proposto","","Obs: Composições e Cotações devem ser preenchidas diretamente no arquivo Referência "&amp;IF(ISBLANK(Import.DataBase),"mm-aaaa",TEXT(Import.DataBase,"mm-aaaa"))&amp;".xlsm.")</f>
        <v>Obs: Composições e Cotações devem ser preenchidas diretamente no arquivo Referência 01-2026.xlsm.</v>
      </c>
      <c r="D14" s="20"/>
      <c r="E14" s="20"/>
      <c r="F14" s="20"/>
      <c r="G14" s="20"/>
      <c r="H14" s="20"/>
      <c r="I14" s="20"/>
      <c r="K14" s="35"/>
      <c r="N14" s="8"/>
    </row>
    <row r="15" customFormat="false" ht="12.75" hidden="false" customHeight="false" outlineLevel="0" collapsed="false">
      <c r="A15" s="20"/>
      <c r="B15" s="20"/>
      <c r="C15" s="20"/>
      <c r="D15" s="20"/>
      <c r="E15" s="20"/>
      <c r="F15" s="20"/>
      <c r="G15" s="20"/>
      <c r="H15" s="20"/>
      <c r="I15" s="20"/>
      <c r="K15" s="35"/>
      <c r="L15" s="0" t="s">
        <v>130</v>
      </c>
      <c r="N15" s="8"/>
    </row>
    <row r="16" customFormat="false" ht="21" hidden="false" customHeight="true" outlineLevel="0" collapsed="false">
      <c r="A16" s="20"/>
      <c r="B16" s="34" t="str">
        <f aca="false">IF($O$3&lt;&gt;2,"PÓS-LICITADO: Para visualizar/preencher esta seção, altere o TIPO DE ORÇAMENTO para 'Licitado'","RESULTADO DO PROCESSO LICITATÓRIO")</f>
        <v>PÓS-LICITADO: Para visualizar/preencher esta seção, altere o TIPO DE ORÇAMENTO para 'Licitado'</v>
      </c>
      <c r="C16" s="34"/>
      <c r="D16" s="34"/>
      <c r="E16" s="34"/>
      <c r="F16" s="34"/>
      <c r="G16" s="34"/>
      <c r="H16" s="34"/>
      <c r="I16" s="20"/>
      <c r="K16" s="35"/>
      <c r="L16" s="43"/>
      <c r="M16" s="7"/>
      <c r="N16" s="40" t="s">
        <v>131</v>
      </c>
    </row>
    <row r="17" customFormat="false" ht="12.75" hidden="false" customHeight="false" outlineLevel="0" collapsed="false">
      <c r="A17" s="20"/>
      <c r="B17" s="20"/>
      <c r="C17" s="20"/>
      <c r="D17" s="20"/>
      <c r="E17" s="20"/>
      <c r="F17" s="20"/>
      <c r="G17" s="20"/>
      <c r="H17" s="20"/>
      <c r="I17" s="20"/>
      <c r="K17" s="35"/>
      <c r="N17" s="8"/>
    </row>
    <row r="18" customFormat="false" ht="21" hidden="false" customHeight="true" outlineLevel="0" collapsed="false">
      <c r="A18" s="20"/>
      <c r="B18" s="20"/>
      <c r="C18" s="37" t="str">
        <f aca="false" t="array" ref="C18:C18">IF(TIPOORCAMENTO&lt;&gt;"Licitado","","             ORÇAMENTO             ")</f>
        <v/>
      </c>
      <c r="D18" s="30"/>
      <c r="E18" s="37" t="str">
        <f aca="false" t="array" ref="E18:E18">IF(TIPOORCAMENTO&lt;&gt;"Licitado","","                    QCI                    ")</f>
        <v/>
      </c>
      <c r="F18" s="30"/>
      <c r="G18" s="41" t="str">
        <f aca="false" t="array" ref="G18:G18">IF(TIPOORCAMENTO&lt;&gt;"Licitado","","CRONOGRAMA FÍSICO-FINANCEIRO")</f>
        <v/>
      </c>
      <c r="H18" s="20"/>
      <c r="I18" s="20"/>
      <c r="K18" s="35"/>
      <c r="L18" s="44"/>
      <c r="M18" s="7"/>
      <c r="N18" s="40" t="s">
        <v>132</v>
      </c>
    </row>
    <row r="19" customFormat="false" ht="12.75" hidden="false" customHeight="false" outlineLevel="0" collapsed="false">
      <c r="A19" s="20"/>
      <c r="B19" s="20"/>
      <c r="C19" s="20"/>
      <c r="D19" s="20"/>
      <c r="E19" s="20"/>
      <c r="F19" s="20"/>
      <c r="G19" s="20"/>
      <c r="H19" s="20"/>
      <c r="I19" s="20"/>
      <c r="K19" s="45"/>
      <c r="L19" s="46"/>
      <c r="M19" s="46"/>
      <c r="N19" s="2"/>
    </row>
    <row r="20" customFormat="false" ht="21" hidden="false" customHeight="true" outlineLevel="0" collapsed="false">
      <c r="A20" s="23"/>
      <c r="B20" s="34" t="str">
        <f aca="false">IF($O$3&lt;&gt;2,"ACOMPANHAMENTO: Para visualizar/preencher esta seção, altere o TIPO DE ORÇAMENTO para 'Licitado'","ACOMPANHAMENTO DO EMPREENDIMENTO")</f>
        <v>ACOMPANHAMENTO: Para visualizar/preencher esta seção, altere o TIPO DE ORÇAMENTO para 'Licitado'</v>
      </c>
      <c r="C20" s="34"/>
      <c r="D20" s="34"/>
      <c r="E20" s="34"/>
      <c r="F20" s="34"/>
      <c r="G20" s="34"/>
      <c r="H20" s="34"/>
      <c r="I20" s="20"/>
    </row>
    <row r="21" customFormat="false" ht="12.75" hidden="false" customHeight="false" outlineLevel="0" collapsed="false">
      <c r="A21" s="20"/>
      <c r="B21" s="20"/>
      <c r="C21" s="20"/>
      <c r="D21" s="20"/>
      <c r="E21" s="20"/>
      <c r="F21" s="20"/>
      <c r="G21" s="20"/>
      <c r="H21" s="20"/>
      <c r="I21" s="20"/>
    </row>
    <row r="22" customFormat="false" ht="21" hidden="false" customHeight="true" outlineLevel="0" collapsed="false">
      <c r="A22" s="20"/>
      <c r="B22" s="20"/>
      <c r="C22" s="47" t="str">
        <f aca="false" t="array" ref="C22:C22">IF(OR(TIPOORCAMENTO&lt;&gt;"Licitado",ACOMPANHAMENTO&lt;&gt;"PLE"),"","PLAN. DE LEVANT. DE EVENTOS - PLE")</f>
        <v/>
      </c>
      <c r="D22" s="30"/>
      <c r="E22" s="37" t="str">
        <f aca="false" t="array" ref="E22:E22">IF(TIPOORCAMENTO&lt;&gt;"Licitado","","                    RRE                    ")</f>
        <v/>
      </c>
      <c r="F22" s="30"/>
      <c r="G22" s="38" t="str">
        <f aca="false" t="array" ref="G22:G22">IF(OR(TIPOORCAMENTO&lt;&gt;"Licitado",ACOMPANHAMENTO&lt;&gt;"BM"),"","  BOLETIM DE MEDIÇÃO - BM  ")</f>
        <v/>
      </c>
      <c r="H22" s="20"/>
      <c r="I22" s="20"/>
    </row>
    <row r="23" customFormat="false" ht="12.75" hidden="false" customHeight="false" outlineLevel="0" collapsed="false">
      <c r="A23" s="20"/>
      <c r="B23" s="20"/>
      <c r="C23" s="30"/>
      <c r="D23" s="30"/>
      <c r="E23" s="30"/>
      <c r="F23" s="30"/>
      <c r="G23" s="30"/>
      <c r="H23" s="20"/>
      <c r="I23" s="20"/>
    </row>
    <row r="24" customFormat="false" ht="21" hidden="false" customHeight="true" outlineLevel="0" collapsed="false">
      <c r="A24" s="20"/>
      <c r="B24" s="20"/>
      <c r="C24" s="30"/>
      <c r="D24" s="30"/>
      <c r="E24" s="47" t="str">
        <f aca="false" t="array" ref="E24:E24">IF(TIPOORCAMENTO&lt;&gt;"Licitado","","OF. DE SOLICITAÇÃO DE DESBLOQUEIO")</f>
        <v/>
      </c>
      <c r="F24" s="30"/>
      <c r="G24" s="30"/>
      <c r="H24" s="20"/>
      <c r="I24" s="20"/>
    </row>
    <row r="25" customFormat="false" ht="12.75" hidden="false" customHeight="false" outlineLevel="0" collapsed="false">
      <c r="A25" s="20"/>
      <c r="B25" s="20"/>
      <c r="C25" s="20"/>
      <c r="D25" s="20"/>
      <c r="E25" s="20"/>
      <c r="F25" s="20"/>
      <c r="G25" s="20"/>
      <c r="H25" s="20"/>
      <c r="I25" s="20"/>
    </row>
  </sheetData>
  <sheetProtection algorithmName="SHA-512" hashValue="1Wa6+p7QI3UcfBogd5De2ziJ07pUdbh8+e8gCZMgGZ4OPzNb+bfLsBRc3m5X1BJVghoAjlBFP4DjPEcLxYH1dQ==" saltValue="5qwj6QgO1sFrgUenhUdRTQ==" spinCount="100000" sheet="true" objects="true" scenarios="true" autoFilter="false"/>
  <mergeCells count="4">
    <mergeCell ref="E2:G3"/>
    <mergeCell ref="B8:H8"/>
    <mergeCell ref="B16:H16"/>
    <mergeCell ref="B20:H20"/>
  </mergeCells>
  <conditionalFormatting sqref="C10:G14">
    <cfRule type="expression" priority="2" aboveAverage="0" equalAverage="0" bottom="0" percent="0" rank="0" text="" dxfId="0">
      <formula>TIPOORCAMENTO="Licitado"</formula>
    </cfRule>
  </conditionalFormatting>
  <conditionalFormatting sqref="C18:G18 E22:E24">
    <cfRule type="expression" priority="3" aboveAverage="0" equalAverage="0" bottom="0" percent="0" rank="0" text="" dxfId="1">
      <formula>TIPOORCAMENTO&lt;&gt;"Licitado"</formula>
    </cfRule>
  </conditionalFormatting>
  <conditionalFormatting sqref="C22">
    <cfRule type="expression" priority="4" aboveAverage="0" equalAverage="0" bottom="0" percent="0" rank="0" text="" dxfId="2">
      <formula>OR(TIPOORCAMENTO&lt;&gt;"Licitado",ACOMPANHAMENTO&lt;&gt;"PLE")</formula>
    </cfRule>
  </conditionalFormatting>
  <conditionalFormatting sqref="G22">
    <cfRule type="expression" priority="5" aboveAverage="0" equalAverage="0" bottom="0" percent="0" rank="0" text="" dxfId="3">
      <formula>OR(TIPOORCAMENTO&lt;&gt;"Licitado",ACOMPANHAMENTO&lt;&gt;"BM")</formula>
    </cfRule>
  </conditionalFormatting>
  <conditionalFormatting sqref="B16:H16 B20:H20">
    <cfRule type="expression" priority="6" aboveAverage="0" equalAverage="0" bottom="0" percent="0" rank="0" text="" dxfId="4">
      <formula>$O$3&lt;&gt;2</formula>
    </cfRule>
  </conditionalFormatting>
  <conditionalFormatting sqref="B8:H8">
    <cfRule type="expression" priority="7" aboveAverage="0" equalAverage="0" bottom="0" percent="0" rank="0" text="" dxfId="5">
      <formula>$O$3&lt;&gt;1</formula>
    </cfRule>
  </conditionalFormatting>
  <hyperlinks>
    <hyperlink ref="E6" location="DADOS!E3" display="DADOS DO CONTRATO"/>
    <hyperlink ref="G6" location="'NOVO'!A1" display="NOVIDADES DA VERSÃO"/>
    <hyperlink ref="C10" location="BDI!Q11" display="#BDI.Q11"/>
    <hyperlink ref="E10" location="ORÇAMENTO!M13" display="#ORÇAMENTO.M13"/>
    <hyperlink ref="G10" location="CÁLCULO!D13" display="#CÁLCULO.D13"/>
    <hyperlink ref="C12" location="QCI!D13" display="#QCI.D13"/>
    <hyperlink ref="E12" location="CRONO!G12" display="#CRONO.G12"/>
    <hyperlink ref="C18" location="ORÇAMENTO!AM15" display="#ORÇAMENTO.AM15"/>
    <hyperlink ref="E18" location="QCI!D13" display="#QCI.D13"/>
    <hyperlink ref="G18" location="CRONO!G12" display="#CRONO.G12"/>
    <hyperlink ref="C22" location="PLE!J8" display="#PLE.J8"/>
    <hyperlink ref="E22" location="RRE!E13" display="#RRE.E13"/>
    <hyperlink ref="G22" location="BM!D13" display="#BM.D13"/>
    <hyperlink ref="E24" location="Ofício!C6" display="#Ofício!C6"/>
  </hyperlinks>
  <printOptions headings="false" gridLines="false" gridLinesSet="true" horizontalCentered="false" verticalCentered="false"/>
  <pageMargins left="0.7875" right="0.7875" top="0.786805555555556" bottom="0.786805555555556" header="5.70833333333333" footer="0.590277777777778"/>
  <pageSetup paperSize="9" scale="58"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colBreaks count="1" manualBreakCount="1">
    <brk id="9" man="true" max="65535" min="0"/>
  </colBreaks>
  <drawing r:id="rId1"/>
  <legacyDrawing r:id="rId2"/>
  <mc:AlternateContent xmlns:mc="http://schemas.openxmlformats.org/markup-compatibility/2006">
    <mc:Choice Requires="x14">
      <controls>
        <mc:AlternateContent xmlns:mc="http://schemas.openxmlformats.org/markup-compatibility/2006">
          <mc:Choice Requires="x14">
            <control shapeId="1001" r:id="rId3" name="Importar Fórmulas para o Custo Unitário (aba ORÇAMENTO)">
              <controlPr defaultSize="0" locked="1" autoFill="0" autoLine="0" autoPict="0" print="true" altText="Check Box 95">
                <anchor moveWithCells="true" sizeWithCells="false">
                  <from>
                    <xdr:col>10</xdr:col>
                    <xdr:colOff>38160</xdr:colOff>
                    <xdr:row>0</xdr:row>
                    <xdr:rowOff>47520</xdr:rowOff>
                  </from>
                  <to>
                    <xdr:col>13</xdr:col>
                    <xdr:colOff>2371320</xdr:colOff>
                    <xdr:row>1</xdr:row>
                    <xdr:rowOff>28440</xdr:rowOff>
                  </to>
                </anchor>
              </controlPr>
            </control>
          </mc:Choice>
        </mc:AlternateContent>
        <mc:AlternateContent xmlns:mc="http://schemas.openxmlformats.org/markup-compatibility/2006">
          <mc:Choice Requires="x14">
            <control shapeId="1002" r:id="rId4" name="Importar Fórmulas para as Quantidades da PLQ (aba CÁLCULO)">
              <controlPr defaultSize="0" locked="1" autoFill="0" autoLine="0" autoPict="0" print="true" altText="Check Box 96">
                <anchor moveWithCells="true" sizeWithCells="false">
                  <from>
                    <xdr:col>10</xdr:col>
                    <xdr:colOff>38160</xdr:colOff>
                    <xdr:row>1</xdr:row>
                    <xdr:rowOff>66600</xdr:rowOff>
                  </from>
                  <to>
                    <xdr:col>13</xdr:col>
                    <xdr:colOff>2390400</xdr:colOff>
                    <xdr:row>2</xdr:row>
                    <xdr:rowOff>-57240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AW222"/>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2.75" customHeight="false" zeroHeight="false" outlineLevelRow="0" outlineLevelCol="0"/>
  <cols>
    <col collapsed="false" customWidth="true" hidden="false" outlineLevel="0" max="1" min="1" style="0" width="10.57"/>
    <col collapsed="false" customWidth="true" hidden="false" outlineLevel="0" max="2" min="2" style="7" width="42.57"/>
    <col collapsed="false" customWidth="true" hidden="false" outlineLevel="0" max="3" min="3" style="7" width="53.42"/>
    <col collapsed="false" customWidth="true" hidden="false" outlineLevel="0" max="4" min="4" style="0" width="80.57"/>
    <col collapsed="false" customWidth="true" hidden="false" outlineLevel="0" max="6" min="5" style="0" width="9.14"/>
    <col collapsed="false" customWidth="true" hidden="true" outlineLevel="0" max="10" min="7" style="0" width="30.71"/>
    <col collapsed="false" customWidth="true" hidden="true" outlineLevel="0" max="11" min="11" style="0" width="9.14"/>
    <col collapsed="false" customWidth="true" hidden="true" outlineLevel="0" max="12" min="12" style="0" width="14.42"/>
    <col collapsed="false" customWidth="true" hidden="true" outlineLevel="0" max="15" min="13" style="0" width="9.14"/>
    <col collapsed="false" customWidth="true" hidden="true" outlineLevel="0" max="16" min="16" style="48" width="9.14"/>
    <col collapsed="false" customWidth="true" hidden="true" outlineLevel="0" max="48" min="17" style="0" width="9.14"/>
    <col collapsed="false" customWidth="true" hidden="true" outlineLevel="0" max="49" min="49" style="0" width="15.57"/>
    <col collapsed="false" customWidth="true" hidden="false" outlineLevel="0" max="50" min="50" style="0" width="9.14"/>
  </cols>
  <sheetData>
    <row r="1" customFormat="false" ht="15.75" hidden="false" customHeight="true" outlineLevel="0" collapsed="false">
      <c r="B1" s="49" t="s">
        <v>133</v>
      </c>
      <c r="C1" s="50"/>
      <c r="D1" s="51" t="str">
        <f aca="false">IF(D3&lt;&gt;"","Falta preencher os Dados do Contrato",IF(D15&lt;&gt;"","Falta preencher os Dados do Empreendimento",IF(D21&lt;&gt;"","Falta preencher os Dados do Responsável pelo Orçamento",IF(D27&lt;&gt;"","Falta preencher os Dados do Responsável pelo Tomador",IF(D31&lt;&gt;"","Falta definir o método de arredondamento das frentes de obra",IF(D35&lt;&gt;"","Falta preencher os Dados da Licitação",IF(D46&lt;&gt;"","Falta preencher os Dados da Obra",IF(D50&lt;&gt;"","Falta preencher os Dados do Responsável pela Fiscalização",""))))))))</f>
        <v>Falta preencher os Dados do Contrato</v>
      </c>
      <c r="G1" s="52" t="s">
        <v>134</v>
      </c>
      <c r="H1" s="52" t="s">
        <v>135</v>
      </c>
      <c r="I1" s="52" t="s">
        <v>136</v>
      </c>
      <c r="J1" s="52" t="s">
        <v>137</v>
      </c>
      <c r="M1" s="53"/>
      <c r="N1" s="54" t="s">
        <v>138</v>
      </c>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V1" s="55" t="s">
        <v>139</v>
      </c>
      <c r="AW1" s="56"/>
    </row>
    <row r="2" customFormat="false" ht="12.75" hidden="false" customHeight="true" outlineLevel="0" collapsed="false">
      <c r="B2" s="49"/>
      <c r="G2" s="0" t="s">
        <v>140</v>
      </c>
      <c r="H2" s="0" t="s">
        <v>140</v>
      </c>
      <c r="I2" s="0" t="s">
        <v>140</v>
      </c>
      <c r="J2" s="0" t="s">
        <v>141</v>
      </c>
      <c r="L2" s="52" t="s">
        <v>142</v>
      </c>
      <c r="M2" s="57" t="s">
        <v>143</v>
      </c>
      <c r="N2" s="58" t="n">
        <f aca="false">COUNTA(M:M)-1</f>
        <v>3</v>
      </c>
      <c r="O2" s="57" t="s">
        <v>144</v>
      </c>
      <c r="P2" s="58" t="n">
        <f aca="false">COUNTA(O:O)-1</f>
        <v>6</v>
      </c>
      <c r="Q2" s="57" t="s">
        <v>145</v>
      </c>
      <c r="R2" s="58" t="n">
        <f aca="false">COUNTA(Q:Q)-1</f>
        <v>6</v>
      </c>
      <c r="S2" s="57" t="s">
        <v>146</v>
      </c>
      <c r="T2" s="58" t="n">
        <f aca="false">COUNTA(S:S)-1</f>
        <v>6</v>
      </c>
      <c r="U2" s="57" t="s">
        <v>147</v>
      </c>
      <c r="V2" s="58" t="n">
        <f aca="false">COUNTA(U:U)-1</f>
        <v>11</v>
      </c>
      <c r="W2" s="57" t="s">
        <v>148</v>
      </c>
      <c r="X2" s="58" t="n">
        <f aca="false">COUNTA(W:W)-1</f>
        <v>8</v>
      </c>
      <c r="Y2" s="57" t="s">
        <v>149</v>
      </c>
      <c r="Z2" s="58" t="n">
        <f aca="false">COUNTA(Y:Y)-1</f>
        <v>4</v>
      </c>
      <c r="AA2" s="57" t="s">
        <v>150</v>
      </c>
      <c r="AB2" s="58" t="n">
        <f aca="false">COUNTA(AA:AA)-1</f>
        <v>6</v>
      </c>
      <c r="AC2" s="57" t="s">
        <v>151</v>
      </c>
      <c r="AD2" s="58" t="n">
        <f aca="false">COUNTA(AC:AC)-1</f>
        <v>2</v>
      </c>
      <c r="AE2" s="57" t="s">
        <v>152</v>
      </c>
      <c r="AF2" s="58" t="n">
        <f aca="false">COUNTA(AE:AE)-1</f>
        <v>2</v>
      </c>
      <c r="AG2" s="57" t="s">
        <v>153</v>
      </c>
      <c r="AH2" s="58" t="n">
        <f aca="false">COUNTA(AG:AG)-1</f>
        <v>2</v>
      </c>
      <c r="AI2" s="57" t="s">
        <v>154</v>
      </c>
      <c r="AJ2" s="58" t="n">
        <f aca="false">COUNTA(AI:AI)-1</f>
        <v>1</v>
      </c>
      <c r="AK2" s="57" t="s">
        <v>155</v>
      </c>
      <c r="AL2" s="58" t="n">
        <f aca="false">COUNTA(AK:AK)-1</f>
        <v>1</v>
      </c>
      <c r="AM2" s="57" t="s">
        <v>156</v>
      </c>
      <c r="AN2" s="58" t="n">
        <f aca="false">COUNTA(AM:AM)-1</f>
        <v>1</v>
      </c>
      <c r="AO2" s="57" t="s">
        <v>157</v>
      </c>
      <c r="AP2" s="58" t="n">
        <f aca="false">COUNTA(AO:AO)-1</f>
        <v>3</v>
      </c>
      <c r="AQ2" s="57" t="s">
        <v>158</v>
      </c>
      <c r="AR2" s="58" t="n">
        <f aca="false">COUNTA(AQ:AQ)-1</f>
        <v>1</v>
      </c>
      <c r="AS2" s="57" t="s">
        <v>159</v>
      </c>
      <c r="AT2" s="58" t="n">
        <f aca="false">COUNTA(AS:AS)-1</f>
        <v>4</v>
      </c>
      <c r="AV2" s="59" t="s">
        <v>160</v>
      </c>
      <c r="AW2" s="60" t="s">
        <v>161</v>
      </c>
    </row>
    <row r="3" customFormat="false" ht="13.8" hidden="false" customHeight="false" outlineLevel="0" collapsed="false">
      <c r="B3" s="61" t="s">
        <v>162</v>
      </c>
      <c r="C3" s="61"/>
      <c r="D3" s="62" t="str">
        <f aca="false">IF(COUNTIF(D4:D13,"◄")=0,"","Falta preencher a linha "&amp;MATCH("◄",D4:D13,0)+ROW(D3))</f>
        <v>Falta preencher a linha 7</v>
      </c>
      <c r="G3" s="0" t="s">
        <v>163</v>
      </c>
      <c r="H3" s="0" t="s">
        <v>164</v>
      </c>
      <c r="I3" s="0" t="s">
        <v>165</v>
      </c>
      <c r="J3" s="0" t="s">
        <v>166</v>
      </c>
      <c r="L3" s="63" t="s">
        <v>143</v>
      </c>
      <c r="M3" s="0" t="s">
        <v>167</v>
      </c>
      <c r="N3" s="48" t="s">
        <v>168</v>
      </c>
      <c r="O3" s="63" t="s">
        <v>169</v>
      </c>
      <c r="P3" s="48" t="s">
        <v>170</v>
      </c>
      <c r="Q3" s="0" t="s">
        <v>171</v>
      </c>
      <c r="R3" s="48" t="s">
        <v>170</v>
      </c>
      <c r="S3" s="0" t="s">
        <v>172</v>
      </c>
      <c r="T3" s="48" t="s">
        <v>173</v>
      </c>
      <c r="U3" s="0" t="s">
        <v>174</v>
      </c>
      <c r="V3" s="48" t="s">
        <v>175</v>
      </c>
      <c r="W3" s="0" t="s">
        <v>176</v>
      </c>
      <c r="X3" s="48" t="s">
        <v>168</v>
      </c>
      <c r="Y3" s="0" t="s">
        <v>177</v>
      </c>
      <c r="Z3" s="48" t="s">
        <v>168</v>
      </c>
      <c r="AA3" s="0" t="s">
        <v>178</v>
      </c>
      <c r="AB3" s="48" t="s">
        <v>168</v>
      </c>
      <c r="AC3" s="0" t="s">
        <v>179</v>
      </c>
      <c r="AD3" s="48" t="s">
        <v>170</v>
      </c>
      <c r="AE3" s="0" t="s">
        <v>180</v>
      </c>
      <c r="AF3" s="48" t="s">
        <v>170</v>
      </c>
      <c r="AG3" s="0" t="s">
        <v>153</v>
      </c>
      <c r="AH3" s="48" t="s">
        <v>170</v>
      </c>
      <c r="AI3" s="0" t="s">
        <v>154</v>
      </c>
      <c r="AJ3" s="48" t="s">
        <v>168</v>
      </c>
      <c r="AK3" s="0" t="s">
        <v>155</v>
      </c>
      <c r="AL3" s="48" t="s">
        <v>168</v>
      </c>
      <c r="AM3" s="0" t="s">
        <v>156</v>
      </c>
      <c r="AN3" s="48" t="s">
        <v>168</v>
      </c>
      <c r="AO3" s="0" t="s">
        <v>181</v>
      </c>
      <c r="AP3" s="48" t="s">
        <v>168</v>
      </c>
      <c r="AQ3" s="0" t="s">
        <v>158</v>
      </c>
      <c r="AR3" s="48" t="s">
        <v>182</v>
      </c>
      <c r="AS3" s="0" t="s">
        <v>183</v>
      </c>
      <c r="AT3" s="48" t="s">
        <v>184</v>
      </c>
      <c r="AV3" s="0" t="s">
        <v>182</v>
      </c>
      <c r="AW3" s="0" t="s">
        <v>182</v>
      </c>
    </row>
    <row r="4" customFormat="false" ht="12.75" hidden="false" customHeight="false" outlineLevel="0" collapsed="false">
      <c r="B4" s="64" t="s">
        <v>134</v>
      </c>
      <c r="C4" s="65" t="s">
        <v>163</v>
      </c>
      <c r="D4" s="66" t="str">
        <f aca="true">IF(OR(OFFSET(D4,0,-1)="",OFFSET(D4,0,-1)="(SELECIONAR)"),"◄","")</f>
        <v/>
      </c>
      <c r="G4" s="0" t="s">
        <v>185</v>
      </c>
      <c r="H4" s="0" t="s">
        <v>186</v>
      </c>
      <c r="I4" s="0" t="s">
        <v>187</v>
      </c>
      <c r="L4" s="63" t="s">
        <v>144</v>
      </c>
      <c r="M4" s="0" t="s">
        <v>188</v>
      </c>
      <c r="N4" s="48" t="s">
        <v>168</v>
      </c>
      <c r="O4" s="0" t="s">
        <v>189</v>
      </c>
      <c r="P4" s="48" t="s">
        <v>170</v>
      </c>
      <c r="Q4" s="0" t="s">
        <v>190</v>
      </c>
      <c r="R4" s="48" t="s">
        <v>170</v>
      </c>
      <c r="S4" s="0" t="s">
        <v>191</v>
      </c>
      <c r="T4" s="48" t="s">
        <v>173</v>
      </c>
      <c r="U4" s="0" t="s">
        <v>192</v>
      </c>
      <c r="V4" s="48" t="s">
        <v>175</v>
      </c>
      <c r="W4" s="0" t="s">
        <v>193</v>
      </c>
      <c r="X4" s="48" t="s">
        <v>173</v>
      </c>
      <c r="Y4" s="0" t="s">
        <v>194</v>
      </c>
      <c r="Z4" s="48" t="s">
        <v>168</v>
      </c>
      <c r="AA4" s="0" t="s">
        <v>195</v>
      </c>
      <c r="AB4" s="48" t="s">
        <v>196</v>
      </c>
      <c r="AC4" s="0" t="s">
        <v>197</v>
      </c>
      <c r="AD4" s="48" t="s">
        <v>170</v>
      </c>
      <c r="AE4" s="0" t="s">
        <v>198</v>
      </c>
      <c r="AF4" s="48" t="s">
        <v>170</v>
      </c>
      <c r="AG4" s="0" t="s">
        <v>199</v>
      </c>
      <c r="AH4" s="48" t="s">
        <v>170</v>
      </c>
      <c r="AJ4" s="48"/>
      <c r="AL4" s="48"/>
      <c r="AN4" s="48"/>
      <c r="AO4" s="0" t="s">
        <v>200</v>
      </c>
      <c r="AP4" s="48" t="s">
        <v>168</v>
      </c>
      <c r="AS4" s="0" t="s">
        <v>201</v>
      </c>
      <c r="AT4" s="48" t="s">
        <v>184</v>
      </c>
      <c r="AV4" s="0" t="s">
        <v>202</v>
      </c>
      <c r="AW4" s="0" t="s">
        <v>203</v>
      </c>
    </row>
    <row r="5" customFormat="false" ht="12.75" hidden="false" customHeight="false" outlineLevel="0" collapsed="false">
      <c r="B5" s="67" t="s">
        <v>204</v>
      </c>
      <c r="C5" s="68" t="s">
        <v>205</v>
      </c>
      <c r="D5" s="66" t="str">
        <f aca="true">IF(OFFSET(D5,0,-1)="","◄","")</f>
        <v/>
      </c>
      <c r="H5" s="0" t="s">
        <v>206</v>
      </c>
      <c r="I5" s="0" t="s">
        <v>207</v>
      </c>
      <c r="L5" s="63" t="s">
        <v>145</v>
      </c>
      <c r="M5" s="0" t="s">
        <v>208</v>
      </c>
      <c r="N5" s="48" t="s">
        <v>168</v>
      </c>
      <c r="O5" s="0" t="s">
        <v>209</v>
      </c>
      <c r="P5" s="48" t="s">
        <v>170</v>
      </c>
      <c r="Q5" s="0" t="s">
        <v>210</v>
      </c>
      <c r="R5" s="48" t="s">
        <v>173</v>
      </c>
      <c r="S5" s="0" t="s">
        <v>211</v>
      </c>
      <c r="T5" s="48" t="s">
        <v>173</v>
      </c>
      <c r="U5" s="0" t="s">
        <v>212</v>
      </c>
      <c r="V5" s="48" t="s">
        <v>175</v>
      </c>
      <c r="W5" s="0" t="s">
        <v>213</v>
      </c>
      <c r="X5" s="48" t="s">
        <v>173</v>
      </c>
      <c r="Y5" s="0" t="s">
        <v>214</v>
      </c>
      <c r="Z5" s="48" t="s">
        <v>173</v>
      </c>
      <c r="AA5" s="0" t="s">
        <v>215</v>
      </c>
      <c r="AB5" s="48" t="s">
        <v>196</v>
      </c>
      <c r="AD5" s="48"/>
      <c r="AF5" s="48"/>
      <c r="AH5" s="48"/>
      <c r="AJ5" s="48"/>
      <c r="AL5" s="48"/>
      <c r="AN5" s="48"/>
      <c r="AO5" s="0" t="s">
        <v>216</v>
      </c>
      <c r="AP5" s="48" t="s">
        <v>168</v>
      </c>
      <c r="AS5" s="0" t="s">
        <v>217</v>
      </c>
      <c r="AT5" s="48" t="s">
        <v>184</v>
      </c>
      <c r="AV5" s="0" t="s">
        <v>218</v>
      </c>
      <c r="AW5" s="0" t="s">
        <v>219</v>
      </c>
    </row>
    <row r="6" customFormat="false" ht="12.75" hidden="false" customHeight="false" outlineLevel="0" collapsed="false">
      <c r="B6" s="67" t="s">
        <v>220</v>
      </c>
      <c r="C6" s="68" t="s">
        <v>221</v>
      </c>
      <c r="D6" s="66" t="str">
        <f aca="true">IF(OFFSET(D6,0,-1)="","◄","")</f>
        <v/>
      </c>
      <c r="I6" s="0" t="s">
        <v>222</v>
      </c>
      <c r="L6" s="63" t="s">
        <v>146</v>
      </c>
      <c r="O6" s="0" t="s">
        <v>223</v>
      </c>
      <c r="P6" s="48" t="s">
        <v>170</v>
      </c>
      <c r="Q6" s="0" t="s">
        <v>224</v>
      </c>
      <c r="R6" s="48" t="s">
        <v>170</v>
      </c>
      <c r="S6" s="0" t="s">
        <v>225</v>
      </c>
      <c r="T6" s="48" t="s">
        <v>170</v>
      </c>
      <c r="U6" s="0" t="s">
        <v>226</v>
      </c>
      <c r="V6" s="48" t="s">
        <v>173</v>
      </c>
      <c r="W6" s="0" t="s">
        <v>227</v>
      </c>
      <c r="X6" s="48" t="s">
        <v>173</v>
      </c>
      <c r="Y6" s="0" t="s">
        <v>228</v>
      </c>
      <c r="Z6" s="48" t="s">
        <v>173</v>
      </c>
      <c r="AA6" s="0" t="s">
        <v>229</v>
      </c>
      <c r="AB6" s="48" t="s">
        <v>168</v>
      </c>
      <c r="AS6" s="0" t="s">
        <v>230</v>
      </c>
      <c r="AT6" s="48" t="s">
        <v>184</v>
      </c>
      <c r="AV6" s="0" t="s">
        <v>231</v>
      </c>
      <c r="AW6" s="0" t="s">
        <v>232</v>
      </c>
    </row>
    <row r="7" customFormat="false" ht="12.75" hidden="false" customHeight="false" outlineLevel="0" collapsed="false">
      <c r="B7" s="69" t="s">
        <v>233</v>
      </c>
      <c r="C7" s="70"/>
      <c r="D7" s="66" t="str">
        <f aca="true">IF(OFFSET(D7,0,-1)="","◄","")</f>
        <v>◄</v>
      </c>
      <c r="I7" s="0" t="s">
        <v>234</v>
      </c>
      <c r="L7" s="63" t="s">
        <v>147</v>
      </c>
      <c r="O7" s="0" t="s">
        <v>235</v>
      </c>
      <c r="P7" s="48" t="s">
        <v>170</v>
      </c>
      <c r="Q7" s="0" t="s">
        <v>236</v>
      </c>
      <c r="R7" s="48" t="s">
        <v>170</v>
      </c>
      <c r="S7" s="0" t="s">
        <v>237</v>
      </c>
      <c r="T7" s="48" t="s">
        <v>196</v>
      </c>
      <c r="U7" s="0" t="s">
        <v>238</v>
      </c>
      <c r="V7" s="48" t="s">
        <v>175</v>
      </c>
      <c r="W7" s="0" t="s">
        <v>239</v>
      </c>
      <c r="X7" s="48" t="s">
        <v>175</v>
      </c>
      <c r="AA7" s="0" t="s">
        <v>240</v>
      </c>
      <c r="AB7" s="48" t="s">
        <v>168</v>
      </c>
      <c r="AV7" s="0" t="s">
        <v>241</v>
      </c>
      <c r="AW7" s="0" t="s">
        <v>242</v>
      </c>
    </row>
    <row r="8" customFormat="false" ht="12.75" hidden="false" customHeight="false" outlineLevel="0" collapsed="false">
      <c r="B8" s="69" t="s">
        <v>243</v>
      </c>
      <c r="C8" s="70"/>
      <c r="D8" s="66" t="str">
        <f aca="true">IF(AND(Import.TipoArredondamento="TransfereGOV",OFFSET(D8,0,-1)=""),"◄","")</f>
        <v>◄</v>
      </c>
      <c r="I8" s="0" t="s">
        <v>244</v>
      </c>
      <c r="L8" s="63" t="s">
        <v>148</v>
      </c>
      <c r="O8" s="0" t="s">
        <v>245</v>
      </c>
      <c r="P8" s="48" t="s">
        <v>170</v>
      </c>
      <c r="Q8" s="0" t="s">
        <v>246</v>
      </c>
      <c r="R8" s="48" t="s">
        <v>170</v>
      </c>
      <c r="S8" s="0" t="s">
        <v>247</v>
      </c>
      <c r="T8" s="48" t="s">
        <v>175</v>
      </c>
      <c r="U8" s="0" t="s">
        <v>248</v>
      </c>
      <c r="V8" s="48" t="s">
        <v>175</v>
      </c>
      <c r="W8" s="0" t="s">
        <v>249</v>
      </c>
      <c r="X8" s="48" t="s">
        <v>175</v>
      </c>
      <c r="AA8" s="0" t="s">
        <v>250</v>
      </c>
      <c r="AB8" s="48" t="s">
        <v>170</v>
      </c>
      <c r="AV8" s="0" t="s">
        <v>251</v>
      </c>
      <c r="AW8" s="0" t="s">
        <v>252</v>
      </c>
    </row>
    <row r="9" customFormat="false" ht="12.75" hidden="false" customHeight="false" outlineLevel="0" collapsed="false">
      <c r="B9" s="69" t="str">
        <f aca="false">IF(C4="FGTS","Valor de Financiamento Contratado (R$):","Valor do Repasse Contratado (R$):")</f>
        <v>Valor do Repasse Contratado (R$):</v>
      </c>
      <c r="C9" s="71"/>
      <c r="D9" s="66" t="str">
        <f aca="true">IF(OFFSET(D9,0,-1)="","◄","")</f>
        <v>◄</v>
      </c>
      <c r="I9" s="0" t="s">
        <v>253</v>
      </c>
      <c r="L9" s="63" t="s">
        <v>149</v>
      </c>
      <c r="U9" s="0" t="s">
        <v>254</v>
      </c>
      <c r="V9" s="48" t="s">
        <v>173</v>
      </c>
      <c r="W9" s="0" t="s">
        <v>255</v>
      </c>
      <c r="X9" s="48" t="s">
        <v>175</v>
      </c>
      <c r="AV9" s="0" t="s">
        <v>256</v>
      </c>
      <c r="AW9" s="0" t="s">
        <v>257</v>
      </c>
    </row>
    <row r="10" customFormat="false" ht="12.75" hidden="false" customHeight="false" outlineLevel="0" collapsed="false">
      <c r="B10" s="69" t="s">
        <v>258</v>
      </c>
      <c r="C10" s="71"/>
      <c r="D10" s="66" t="str">
        <f aca="true">IF(OFFSET(D10,0,-1)="","◄","")</f>
        <v>◄</v>
      </c>
      <c r="L10" s="63" t="s">
        <v>150</v>
      </c>
      <c r="U10" s="0" t="s">
        <v>259</v>
      </c>
      <c r="V10" s="48" t="s">
        <v>196</v>
      </c>
      <c r="W10" s="0" t="s">
        <v>260</v>
      </c>
      <c r="X10" s="48" t="s">
        <v>168</v>
      </c>
      <c r="AV10" s="0" t="s">
        <v>261</v>
      </c>
      <c r="AW10" s="0" t="s">
        <v>262</v>
      </c>
    </row>
    <row r="11" customFormat="false" ht="12.75" hidden="false" customHeight="false" outlineLevel="0" collapsed="false">
      <c r="B11" s="69" t="s">
        <v>263</v>
      </c>
      <c r="C11" s="72"/>
      <c r="D11" s="66" t="str">
        <f aca="true">IF(OFFSET(D11,0,-1)="","◄","")</f>
        <v>◄</v>
      </c>
      <c r="L11" s="63" t="s">
        <v>151</v>
      </c>
      <c r="U11" s="0" t="s">
        <v>264</v>
      </c>
      <c r="V11" s="48" t="s">
        <v>173</v>
      </c>
      <c r="AV11" s="0" t="s">
        <v>265</v>
      </c>
      <c r="AW11" s="0" t="s">
        <v>266</v>
      </c>
    </row>
    <row r="12" customFormat="false" ht="12.75" hidden="false" customHeight="false" outlineLevel="0" collapsed="false">
      <c r="B12" s="69" t="s">
        <v>267</v>
      </c>
      <c r="C12" s="71"/>
      <c r="L12" s="63" t="s">
        <v>152</v>
      </c>
      <c r="U12" s="0" t="s">
        <v>176</v>
      </c>
      <c r="V12" s="48" t="s">
        <v>168</v>
      </c>
      <c r="AV12" s="0" t="s">
        <v>268</v>
      </c>
      <c r="AW12" s="0" t="s">
        <v>269</v>
      </c>
    </row>
    <row r="13" customFormat="false" ht="12.75" hidden="false" customHeight="false" outlineLevel="0" collapsed="false">
      <c r="B13" s="73" t="s">
        <v>270</v>
      </c>
      <c r="C13" s="74"/>
      <c r="L13" s="63" t="s">
        <v>153</v>
      </c>
      <c r="U13" s="0" t="s">
        <v>271</v>
      </c>
      <c r="V13" s="48" t="s">
        <v>173</v>
      </c>
      <c r="AV13" s="0" t="s">
        <v>272</v>
      </c>
      <c r="AW13" s="0" t="s">
        <v>273</v>
      </c>
    </row>
    <row r="14" customFormat="false" ht="12.75" hidden="false" customHeight="false" outlineLevel="0" collapsed="false">
      <c r="C14" s="75"/>
      <c r="L14" s="63" t="s">
        <v>154</v>
      </c>
      <c r="AV14" s="0" t="s">
        <v>274</v>
      </c>
      <c r="AW14" s="0" t="s">
        <v>275</v>
      </c>
    </row>
    <row r="15" customFormat="false" ht="13.8" hidden="false" customHeight="false" outlineLevel="0" collapsed="false">
      <c r="B15" s="61" t="s">
        <v>276</v>
      </c>
      <c r="C15" s="61"/>
      <c r="D15" s="62" t="str">
        <f aca="false">IF(COUNTIF(D16:D19,"◄")=0,"","Falta preencher a linha "&amp;MATCH("◄",D16:D19,0)+ROW(D15))</f>
        <v>Falta preencher a linha 17</v>
      </c>
      <c r="L15" s="63" t="s">
        <v>155</v>
      </c>
      <c r="AV15" s="0" t="s">
        <v>277</v>
      </c>
      <c r="AW15" s="0" t="s">
        <v>278</v>
      </c>
    </row>
    <row r="16" customFormat="false" ht="12.75" hidden="false" customHeight="false" outlineLevel="0" collapsed="false">
      <c r="B16" s="76" t="s">
        <v>279</v>
      </c>
      <c r="C16" s="77" t="s">
        <v>280</v>
      </c>
      <c r="D16" s="66" t="str">
        <f aca="true">IF(OFFSET(D16,0,-1)="","◄","")</f>
        <v/>
      </c>
      <c r="L16" s="63" t="s">
        <v>156</v>
      </c>
      <c r="AV16" s="0" t="s">
        <v>281</v>
      </c>
      <c r="AW16" s="0" t="s">
        <v>282</v>
      </c>
    </row>
    <row r="17" customFormat="false" ht="12.75" hidden="false" customHeight="false" outlineLevel="0" collapsed="false">
      <c r="B17" s="69" t="s">
        <v>283</v>
      </c>
      <c r="C17" s="78"/>
      <c r="D17" s="66" t="str">
        <f aca="true">IF(OFFSET(D17,0,-1)="","◄","")</f>
        <v>◄</v>
      </c>
      <c r="L17" s="63" t="s">
        <v>157</v>
      </c>
      <c r="AV17" s="0" t="s">
        <v>284</v>
      </c>
      <c r="AW17" s="0" t="s">
        <v>285</v>
      </c>
    </row>
    <row r="18" customFormat="false" ht="12.75" hidden="false" customHeight="false" outlineLevel="0" collapsed="false">
      <c r="B18" s="69" t="s">
        <v>286</v>
      </c>
      <c r="C18" s="79" t="s">
        <v>186</v>
      </c>
      <c r="D18" s="66" t="str">
        <f aca="true">IF(OR(OFFSET(D18,0,-1)="",OFFSET(D18,0,-1)="(SELECIONAR)"),"◄","")</f>
        <v/>
      </c>
      <c r="L18" s="63" t="s">
        <v>158</v>
      </c>
      <c r="AV18" s="0" t="s">
        <v>287</v>
      </c>
      <c r="AW18" s="0" t="s">
        <v>288</v>
      </c>
    </row>
    <row r="19" customFormat="false" ht="12.75" hidden="false" customHeight="false" outlineLevel="0" collapsed="false">
      <c r="B19" s="80" t="s">
        <v>289</v>
      </c>
      <c r="C19" s="81" t="n">
        <v>46023</v>
      </c>
      <c r="D19" s="66" t="str">
        <f aca="true">IF(OFFSET(D19,0,-1)="","◄","")</f>
        <v/>
      </c>
      <c r="L19" s="63" t="s">
        <v>159</v>
      </c>
      <c r="AV19" s="0" t="s">
        <v>290</v>
      </c>
      <c r="AW19" s="0" t="s">
        <v>291</v>
      </c>
    </row>
    <row r="20" customFormat="false" ht="12.75" hidden="false" customHeight="false" outlineLevel="0" collapsed="false">
      <c r="C20" s="82"/>
      <c r="L20" s="63"/>
      <c r="AV20" s="0" t="s">
        <v>292</v>
      </c>
      <c r="AW20" s="0" t="s">
        <v>293</v>
      </c>
    </row>
    <row r="21" customFormat="false" ht="13.8" hidden="false" customHeight="false" outlineLevel="0" collapsed="false">
      <c r="B21" s="61" t="s">
        <v>294</v>
      </c>
      <c r="C21" s="61"/>
      <c r="D21" s="62" t="str">
        <f aca="false">IF(COUNTIF(D22:D25,"◄")=0,"","Falta preencher a linha "&amp;MATCH("◄",D22:D25,0)+ROW(D21))</f>
        <v>Falta preencher a linha 24</v>
      </c>
      <c r="L21" s="63"/>
      <c r="AV21" s="0" t="s">
        <v>295</v>
      </c>
      <c r="AW21" s="0" t="s">
        <v>296</v>
      </c>
    </row>
    <row r="22" customFormat="false" ht="12.75" hidden="false" customHeight="false" outlineLevel="0" collapsed="false">
      <c r="B22" s="67" t="s">
        <v>297</v>
      </c>
      <c r="C22" s="83" t="s">
        <v>298</v>
      </c>
      <c r="D22" s="66" t="str">
        <f aca="true">IF(OFFSET(D22,0,-1)="","◄","")</f>
        <v/>
      </c>
      <c r="AV22" s="0" t="s">
        <v>299</v>
      </c>
      <c r="AW22" s="0" t="s">
        <v>300</v>
      </c>
    </row>
    <row r="23" customFormat="false" ht="12.75" hidden="false" customHeight="false" outlineLevel="0" collapsed="false">
      <c r="B23" s="69" t="s">
        <v>301</v>
      </c>
      <c r="C23" s="70" t="s">
        <v>302</v>
      </c>
      <c r="D23" s="66" t="str">
        <f aca="true">IF(OFFSET(D23,0,-1)="","◄","")</f>
        <v/>
      </c>
      <c r="AV23" s="0" t="s">
        <v>303</v>
      </c>
      <c r="AW23" s="0" t="s">
        <v>304</v>
      </c>
    </row>
    <row r="24" customFormat="false" ht="12.75" hidden="false" customHeight="false" outlineLevel="0" collapsed="false">
      <c r="B24" s="69" t="s">
        <v>305</v>
      </c>
      <c r="C24" s="70"/>
      <c r="D24" s="66" t="str">
        <f aca="true">IF(OFFSET(D24,0,-1)="","◄","")</f>
        <v>◄</v>
      </c>
      <c r="AV24" s="0" t="s">
        <v>306</v>
      </c>
      <c r="AW24" s="0" t="s">
        <v>307</v>
      </c>
    </row>
    <row r="25" customFormat="false" ht="12.75" hidden="false" customHeight="false" outlineLevel="0" collapsed="false">
      <c r="B25" s="73" t="s">
        <v>308</v>
      </c>
      <c r="C25" s="84" t="n">
        <v>46098</v>
      </c>
      <c r="D25" s="66"/>
      <c r="AV25" s="0" t="s">
        <v>309</v>
      </c>
      <c r="AW25" s="0" t="s">
        <v>310</v>
      </c>
    </row>
    <row r="26" customFormat="false" ht="12.75" hidden="false" customHeight="false" outlineLevel="0" collapsed="false">
      <c r="AV26" s="0" t="s">
        <v>311</v>
      </c>
      <c r="AW26" s="0" t="s">
        <v>312</v>
      </c>
    </row>
    <row r="27" customFormat="false" ht="13.8" hidden="false" customHeight="false" outlineLevel="0" collapsed="false">
      <c r="B27" s="61" t="s">
        <v>313</v>
      </c>
      <c r="C27" s="61"/>
      <c r="D27" s="62" t="str">
        <f aca="false">IF(COUNTIF(D28:D29,"◄")=0,"","Falta preencher a linha "&amp;MATCH("◄",D28:D29,0)+ROW(D27))</f>
        <v/>
      </c>
      <c r="AV27" s="0" t="s">
        <v>314</v>
      </c>
      <c r="AW27" s="0" t="s">
        <v>315</v>
      </c>
    </row>
    <row r="28" customFormat="false" ht="12.75" hidden="false" customHeight="false" outlineLevel="0" collapsed="false">
      <c r="B28" s="64" t="s">
        <v>297</v>
      </c>
      <c r="C28" s="85" t="s">
        <v>316</v>
      </c>
      <c r="D28" s="66" t="str">
        <f aca="true">IF(OFFSET(D28,0,-1)="","◄","")</f>
        <v/>
      </c>
      <c r="AV28" s="0" t="s">
        <v>317</v>
      </c>
      <c r="AW28" s="0" t="s">
        <v>318</v>
      </c>
    </row>
    <row r="29" customFormat="false" ht="12.75" hidden="false" customHeight="false" outlineLevel="0" collapsed="false">
      <c r="B29" s="73" t="s">
        <v>319</v>
      </c>
      <c r="C29" s="86" t="s">
        <v>320</v>
      </c>
      <c r="D29" s="66" t="str">
        <f aca="true">IF(OFFSET(D29,0,-1)="","◄","")</f>
        <v/>
      </c>
      <c r="AV29" s="0" t="s">
        <v>321</v>
      </c>
      <c r="AW29" s="0" t="s">
        <v>322</v>
      </c>
    </row>
    <row r="30" customFormat="false" ht="15" hidden="false" customHeight="false" outlineLevel="0" collapsed="false">
      <c r="B30" s="49"/>
      <c r="AV30" s="0" t="s">
        <v>323</v>
      </c>
      <c r="AW30" s="0" t="s">
        <v>322</v>
      </c>
    </row>
    <row r="31" customFormat="false" ht="12.75" hidden="false" customHeight="false" outlineLevel="0" collapsed="false">
      <c r="B31" s="87" t="s">
        <v>324</v>
      </c>
      <c r="C31" s="88" t="s">
        <v>166</v>
      </c>
      <c r="D31" s="66" t="str">
        <f aca="true">IF(OFFSET(D31,0,-1)="","◄ Falta definir o método de arredondamento.","")</f>
        <v/>
      </c>
      <c r="AV31" s="0" t="s">
        <v>325</v>
      </c>
      <c r="AW31" s="0" t="s">
        <v>326</v>
      </c>
    </row>
    <row r="32" customFormat="false" ht="12.75" hidden="false" customHeight="true" outlineLevel="0" collapsed="false">
      <c r="B32" s="49"/>
      <c r="AV32" s="0" t="s">
        <v>327</v>
      </c>
      <c r="AW32" s="0" t="s">
        <v>328</v>
      </c>
    </row>
    <row r="33" customFormat="false" ht="12.75" hidden="false" customHeight="true" outlineLevel="0" collapsed="false">
      <c r="B33" s="49" t="s">
        <v>329</v>
      </c>
      <c r="AV33" s="0" t="s">
        <v>330</v>
      </c>
      <c r="AW33" s="0" t="s">
        <v>331</v>
      </c>
    </row>
    <row r="34" customFormat="false" ht="15" hidden="false" customHeight="false" outlineLevel="0" collapsed="false">
      <c r="B34" s="49"/>
      <c r="AV34" s="0" t="s">
        <v>332</v>
      </c>
      <c r="AW34" s="0" t="s">
        <v>330</v>
      </c>
    </row>
    <row r="35" customFormat="false" ht="12.75" hidden="false" customHeight="true" outlineLevel="0" collapsed="false">
      <c r="B35" s="61" t="s">
        <v>333</v>
      </c>
      <c r="C35" s="61"/>
      <c r="D35" s="62" t="str">
        <f aca="false">IF(COUNTIF(D36:D39,"◄")=0,"","Falta preencher a linha "&amp;MATCH("◄",D36:D39,0)+ROW(D35))</f>
        <v/>
      </c>
      <c r="AV35" s="0" t="s">
        <v>334</v>
      </c>
      <c r="AW35" s="0" t="s">
        <v>335</v>
      </c>
    </row>
    <row r="36" customFormat="false" ht="12.75" hidden="false" customHeight="false" outlineLevel="0" collapsed="false">
      <c r="B36" s="64" t="s">
        <v>336</v>
      </c>
      <c r="C36" s="89"/>
      <c r="D36" s="66" t="str">
        <f aca="true" t="array" ref="D36:D36">IF(AND(TIPOORCAMENTO="Licitado",OFFSET(D36,0,-1)=""),"◄","")</f>
        <v/>
      </c>
      <c r="AV36" s="0" t="s">
        <v>337</v>
      </c>
      <c r="AW36" s="0" t="s">
        <v>338</v>
      </c>
    </row>
    <row r="37" customFormat="false" ht="12.75" hidden="false" customHeight="false" outlineLevel="0" collapsed="false">
      <c r="B37" s="67" t="s">
        <v>339</v>
      </c>
      <c r="C37" s="68"/>
      <c r="D37" s="66" t="str">
        <f aca="true" t="array" ref="D37:D37">IF(AND(TIPOORCAMENTO="Licitado",OFFSET(D37,0,-1)=""),"◄","")</f>
        <v/>
      </c>
      <c r="AV37" s="0" t="s">
        <v>340</v>
      </c>
      <c r="AW37" s="0" t="s">
        <v>341</v>
      </c>
    </row>
    <row r="38" customFormat="false" ht="12.75" hidden="false" customHeight="false" outlineLevel="0" collapsed="false">
      <c r="B38" s="69" t="s">
        <v>342</v>
      </c>
      <c r="C38" s="70"/>
      <c r="D38" s="66" t="str">
        <f aca="true" t="array" ref="D38:D38">IF(AND(TIPOORCAMENTO="Licitado",OFFSET(D38,0,-1)=""),"◄","")</f>
        <v/>
      </c>
      <c r="AV38" s="0" t="s">
        <v>343</v>
      </c>
      <c r="AW38" s="0" t="s">
        <v>344</v>
      </c>
    </row>
    <row r="39" customFormat="false" ht="12.75" hidden="false" customHeight="false" outlineLevel="0" collapsed="false">
      <c r="B39" s="69" t="s">
        <v>345</v>
      </c>
      <c r="C39" s="70"/>
      <c r="D39" s="66" t="str">
        <f aca="true" t="array" ref="D39:D39">IF(AND(TIPOORCAMENTO="Licitado",OFFSET(D39,0,-1)=""),"◄","")</f>
        <v/>
      </c>
      <c r="AV39" s="0" t="s">
        <v>346</v>
      </c>
      <c r="AW39" s="0" t="s">
        <v>347</v>
      </c>
    </row>
    <row r="40" customFormat="false" ht="12.75" hidden="false" customHeight="false" outlineLevel="0" collapsed="false">
      <c r="B40" s="69" t="s">
        <v>348</v>
      </c>
      <c r="C40" s="79" t="s">
        <v>140</v>
      </c>
      <c r="D40" s="66" t="str">
        <f aca="true" t="array" ref="D40:D40">IF(AND(TIPOORCAMENTO="Licitado",OR(OFFSET(D40,0,-1)="",OFFSET(D40,0,-1)="(SELECIONAR)")),"◄","")</f>
        <v/>
      </c>
      <c r="AV40" s="0" t="s">
        <v>349</v>
      </c>
      <c r="AW40" s="0" t="s">
        <v>350</v>
      </c>
    </row>
    <row r="41" customFormat="false" ht="12.75" hidden="false" customHeight="false" outlineLevel="0" collapsed="false">
      <c r="B41" s="80" t="s">
        <v>351</v>
      </c>
      <c r="C41" s="90"/>
      <c r="D41" s="66" t="str">
        <f aca="true" t="array" ref="D41:D41">IF(AND(TIPOORCAMENTO="Licitado",OFFSET(D41,0,-1)=""),"◄","")</f>
        <v/>
      </c>
      <c r="AV41" s="0" t="s">
        <v>352</v>
      </c>
      <c r="AW41" s="0" t="s">
        <v>353</v>
      </c>
    </row>
    <row r="42" customFormat="false" ht="15" hidden="false" customHeight="false" outlineLevel="0" collapsed="false">
      <c r="B42" s="49"/>
      <c r="AV42" s="0" t="s">
        <v>354</v>
      </c>
      <c r="AW42" s="0" t="s">
        <v>355</v>
      </c>
    </row>
    <row r="43" customFormat="false" ht="12.75" hidden="false" customHeight="true" outlineLevel="0" collapsed="false">
      <c r="B43" s="49"/>
      <c r="AV43" s="0" t="s">
        <v>356</v>
      </c>
      <c r="AW43" s="0" t="s">
        <v>357</v>
      </c>
    </row>
    <row r="44" customFormat="false" ht="12.75" hidden="false" customHeight="true" outlineLevel="0" collapsed="false">
      <c r="B44" s="49" t="s">
        <v>358</v>
      </c>
      <c r="AV44" s="0" t="s">
        <v>359</v>
      </c>
      <c r="AW44" s="0" t="s">
        <v>360</v>
      </c>
    </row>
    <row r="45" customFormat="false" ht="15" hidden="false" customHeight="false" outlineLevel="0" collapsed="false">
      <c r="B45" s="49"/>
      <c r="AV45" s="0" t="s">
        <v>361</v>
      </c>
      <c r="AW45" s="0" t="s">
        <v>362</v>
      </c>
    </row>
    <row r="46" customFormat="false" ht="12.75" hidden="false" customHeight="true" outlineLevel="0" collapsed="false">
      <c r="B46" s="61" t="s">
        <v>363</v>
      </c>
      <c r="C46" s="61"/>
      <c r="D46" s="62" t="str">
        <f aca="false">IF(COUNTIF(D47:D48,"◄")=0,"","Falta preencher a linha "&amp;MATCH("◄",D47:D48,0)+ROW(D46))</f>
        <v/>
      </c>
      <c r="AV46" s="0" t="s">
        <v>364</v>
      </c>
      <c r="AW46" s="0" t="s">
        <v>365</v>
      </c>
    </row>
    <row r="47" customFormat="false" ht="12.75" hidden="false" customHeight="false" outlineLevel="0" collapsed="false">
      <c r="B47" s="64" t="s">
        <v>366</v>
      </c>
      <c r="C47" s="89"/>
      <c r="D47" s="66" t="str">
        <f aca="true" t="array" ref="D47:D47">IF(AND(TIPOORCAMENTO="Licitado",OFFSET(D47,0,-1)="",IFERROR(RRE!$O$28,0)&gt;0),"◄","")</f>
        <v/>
      </c>
      <c r="AV47" s="0" t="s">
        <v>367</v>
      </c>
      <c r="AW47" s="0" t="s">
        <v>368</v>
      </c>
    </row>
    <row r="48" customFormat="false" ht="12.75" hidden="false" customHeight="false" outlineLevel="0" collapsed="false">
      <c r="B48" s="80" t="s">
        <v>369</v>
      </c>
      <c r="C48" s="91"/>
      <c r="D48" s="66" t="str">
        <f aca="true" t="array" ref="D48:D48">IF(AND(TIPOORCAMENTO="Licitado",OFFSET(D48,0,-1)="",IFERROR(RRE!$O$28,0)&gt;0),"◄","")</f>
        <v/>
      </c>
      <c r="AV48" s="0" t="s">
        <v>370</v>
      </c>
      <c r="AW48" s="0" t="s">
        <v>371</v>
      </c>
    </row>
    <row r="49" customFormat="false" ht="15" hidden="false" customHeight="false" outlineLevel="0" collapsed="false">
      <c r="B49" s="49"/>
      <c r="AV49" s="0" t="s">
        <v>372</v>
      </c>
      <c r="AW49" s="0" t="s">
        <v>373</v>
      </c>
    </row>
    <row r="50" customFormat="false" ht="12.75" hidden="false" customHeight="true" outlineLevel="0" collapsed="false">
      <c r="B50" s="61" t="s">
        <v>374</v>
      </c>
      <c r="C50" s="61"/>
      <c r="D50" s="62" t="str">
        <f aca="false">IF(COUNTIF(D51:D54,"◄")=0,"","Falta preencher a linha "&amp;MATCH("◄",D51:D54,0)+ROW(D50))</f>
        <v/>
      </c>
      <c r="AV50" s="0" t="s">
        <v>375</v>
      </c>
      <c r="AW50" s="0" t="s">
        <v>376</v>
      </c>
    </row>
    <row r="51" customFormat="false" ht="12.75" hidden="false" customHeight="false" outlineLevel="0" collapsed="false">
      <c r="B51" s="64" t="s">
        <v>297</v>
      </c>
      <c r="C51" s="92"/>
      <c r="D51" s="66" t="str">
        <f aca="true" t="array" ref="D51:D51">IF(AND(TIPOORCAMENTO="Licitado",OFFSET(D51,0,-1)="",IFERROR(RRE!$O$28,0)&gt;0),"◄","")</f>
        <v/>
      </c>
      <c r="AV51" s="0" t="s">
        <v>377</v>
      </c>
      <c r="AW51" s="0" t="s">
        <v>378</v>
      </c>
    </row>
    <row r="52" customFormat="false" ht="12.75" hidden="false" customHeight="false" outlineLevel="0" collapsed="false">
      <c r="B52" s="69" t="s">
        <v>379</v>
      </c>
      <c r="C52" s="70"/>
      <c r="D52" s="66" t="str">
        <f aca="true" t="array" ref="D52:D52">IF(AND(TIPOORCAMENTO="Licitado",OFFSET(D52,0,-1)="",IFERROR(RRE!$O$28,0)&gt;0),"◄","")</f>
        <v/>
      </c>
      <c r="AV52" s="0" t="s">
        <v>380</v>
      </c>
      <c r="AW52" s="0" t="s">
        <v>381</v>
      </c>
    </row>
    <row r="53" customFormat="false" ht="12.75" hidden="false" customHeight="false" outlineLevel="0" collapsed="false">
      <c r="B53" s="69" t="s">
        <v>382</v>
      </c>
      <c r="C53" s="70"/>
      <c r="D53" s="66" t="str">
        <f aca="true" t="array" ref="D53:D53">IF(AND(TIPOORCAMENTO="Licitado",OFFSET(D53,0,-1)="",IFERROR(RRE!$O$28,0)&gt;0),"◄","")</f>
        <v/>
      </c>
      <c r="AV53" s="0" t="s">
        <v>383</v>
      </c>
      <c r="AW53" s="0" t="s">
        <v>384</v>
      </c>
    </row>
    <row r="54" customFormat="false" ht="12.75" hidden="false" customHeight="false" outlineLevel="0" collapsed="false">
      <c r="B54" s="73" t="s">
        <v>385</v>
      </c>
      <c r="C54" s="93"/>
      <c r="D54" s="66" t="str">
        <f aca="true" t="array" ref="D54:D54">IF(AND(TIPOORCAMENTO="Licitado",OFFSET(D54,0,-1)="",IFERROR(RRE!$O$28,0)&gt;0),"◄","")</f>
        <v/>
      </c>
      <c r="AV54" s="0" t="s">
        <v>386</v>
      </c>
      <c r="AW54" s="0" t="s">
        <v>387</v>
      </c>
    </row>
    <row r="55" customFormat="false" ht="12.75" hidden="false" customHeight="false" outlineLevel="0" collapsed="false">
      <c r="C55" s="82"/>
      <c r="AV55" s="0" t="s">
        <v>388</v>
      </c>
      <c r="AW55" s="0" t="s">
        <v>389</v>
      </c>
    </row>
    <row r="56" customFormat="false" ht="12.75" hidden="false" customHeight="false" outlineLevel="0" collapsed="false">
      <c r="AV56" s="0" t="s">
        <v>390</v>
      </c>
      <c r="AW56" s="0" t="s">
        <v>391</v>
      </c>
    </row>
    <row r="57" customFormat="false" ht="15" hidden="false" customHeight="false" outlineLevel="0" collapsed="false">
      <c r="B57" s="49" t="s">
        <v>392</v>
      </c>
      <c r="AV57" s="0" t="s">
        <v>393</v>
      </c>
      <c r="AW57" s="0" t="s">
        <v>394</v>
      </c>
    </row>
    <row r="58" customFormat="false" ht="15" hidden="false" customHeight="false" outlineLevel="0" collapsed="false">
      <c r="B58" s="49"/>
      <c r="AV58" s="0" t="s">
        <v>395</v>
      </c>
      <c r="AW58" s="0" t="s">
        <v>396</v>
      </c>
    </row>
    <row r="59" customFormat="false" ht="13.8" hidden="false" customHeight="false" outlineLevel="0" collapsed="false">
      <c r="B59" s="61" t="s">
        <v>397</v>
      </c>
      <c r="C59" s="61"/>
      <c r="AV59" s="0" t="s">
        <v>398</v>
      </c>
      <c r="AW59" s="0" t="s">
        <v>399</v>
      </c>
    </row>
    <row r="60" customFormat="false" ht="12.75" hidden="false" customHeight="false" outlineLevel="0" collapsed="false">
      <c r="B60" s="64" t="s">
        <v>297</v>
      </c>
      <c r="C60" s="92"/>
      <c r="AV60" s="0" t="s">
        <v>400</v>
      </c>
      <c r="AW60" s="0" t="s">
        <v>401</v>
      </c>
    </row>
    <row r="61" customFormat="false" ht="12.75" hidden="false" customHeight="false" outlineLevel="0" collapsed="false">
      <c r="B61" s="80" t="s">
        <v>402</v>
      </c>
      <c r="C61" s="94"/>
      <c r="AV61" s="0" t="s">
        <v>403</v>
      </c>
      <c r="AW61" s="0" t="s">
        <v>404</v>
      </c>
    </row>
    <row r="62" customFormat="false" ht="12.75" hidden="false" customHeight="false" outlineLevel="0" collapsed="false">
      <c r="AV62" s="0" t="s">
        <v>405</v>
      </c>
      <c r="AW62" s="0" t="s">
        <v>406</v>
      </c>
    </row>
    <row r="63" customFormat="false" ht="12.75" hidden="false" customHeight="false" outlineLevel="0" collapsed="false">
      <c r="AV63" s="0" t="s">
        <v>407</v>
      </c>
      <c r="AW63" s="0" t="s">
        <v>408</v>
      </c>
    </row>
    <row r="64" customFormat="false" ht="12.75" hidden="false" customHeight="false" outlineLevel="0" collapsed="false">
      <c r="AV64" s="0" t="s">
        <v>409</v>
      </c>
      <c r="AW64" s="0" t="s">
        <v>410</v>
      </c>
    </row>
    <row r="65" customFormat="false" ht="12.75" hidden="false" customHeight="false" outlineLevel="0" collapsed="false">
      <c r="AV65" s="0" t="s">
        <v>411</v>
      </c>
      <c r="AW65" s="0" t="s">
        <v>412</v>
      </c>
    </row>
    <row r="66" customFormat="false" ht="12.75" hidden="false" customHeight="false" outlineLevel="0" collapsed="false">
      <c r="AV66" s="0" t="s">
        <v>413</v>
      </c>
      <c r="AW66" s="0" t="s">
        <v>414</v>
      </c>
    </row>
    <row r="67" customFormat="false" ht="12.75" hidden="false" customHeight="false" outlineLevel="0" collapsed="false">
      <c r="AV67" s="0" t="s">
        <v>415</v>
      </c>
      <c r="AW67" s="0" t="s">
        <v>416</v>
      </c>
    </row>
    <row r="68" customFormat="false" ht="12.75" hidden="false" customHeight="false" outlineLevel="0" collapsed="false">
      <c r="AV68" s="0" t="s">
        <v>417</v>
      </c>
      <c r="AW68" s="0" t="s">
        <v>418</v>
      </c>
    </row>
    <row r="69" customFormat="false" ht="12.75" hidden="false" customHeight="false" outlineLevel="0" collapsed="false">
      <c r="AV69" s="0" t="s">
        <v>419</v>
      </c>
      <c r="AW69" s="0" t="s">
        <v>420</v>
      </c>
    </row>
    <row r="70" customFormat="false" ht="12.75" hidden="false" customHeight="false" outlineLevel="0" collapsed="false">
      <c r="AV70" s="0" t="s">
        <v>421</v>
      </c>
      <c r="AW70" s="0" t="s">
        <v>422</v>
      </c>
    </row>
    <row r="71" customFormat="false" ht="12.75" hidden="false" customHeight="false" outlineLevel="0" collapsed="false">
      <c r="AV71" s="0" t="s">
        <v>423</v>
      </c>
      <c r="AW71" s="0" t="s">
        <v>424</v>
      </c>
    </row>
    <row r="72" customFormat="false" ht="12.75" hidden="false" customHeight="false" outlineLevel="0" collapsed="false">
      <c r="AV72" s="0" t="s">
        <v>425</v>
      </c>
      <c r="AW72" s="0" t="s">
        <v>426</v>
      </c>
    </row>
    <row r="73" customFormat="false" ht="12.75" hidden="false" customHeight="false" outlineLevel="0" collapsed="false">
      <c r="AV73" s="0" t="s">
        <v>427</v>
      </c>
      <c r="AW73" s="0" t="s">
        <v>428</v>
      </c>
    </row>
    <row r="74" customFormat="false" ht="12.75" hidden="false" customHeight="false" outlineLevel="0" collapsed="false">
      <c r="AV74" s="0" t="s">
        <v>429</v>
      </c>
      <c r="AW74" s="0" t="s">
        <v>430</v>
      </c>
    </row>
    <row r="75" customFormat="false" ht="12.75" hidden="false" customHeight="false" outlineLevel="0" collapsed="false">
      <c r="AV75" s="0" t="s">
        <v>431</v>
      </c>
      <c r="AW75" s="0" t="s">
        <v>432</v>
      </c>
    </row>
    <row r="76" customFormat="false" ht="12.75" hidden="false" customHeight="false" outlineLevel="0" collapsed="false">
      <c r="AV76" s="0" t="s">
        <v>433</v>
      </c>
      <c r="AW76" s="0" t="s">
        <v>434</v>
      </c>
    </row>
    <row r="77" customFormat="false" ht="12.75" hidden="false" customHeight="false" outlineLevel="0" collapsed="false">
      <c r="AV77" s="0" t="s">
        <v>435</v>
      </c>
      <c r="AW77" s="0" t="s">
        <v>436</v>
      </c>
    </row>
    <row r="78" customFormat="false" ht="12.75" hidden="false" customHeight="false" outlineLevel="0" collapsed="false">
      <c r="AV78" s="0" t="s">
        <v>437</v>
      </c>
      <c r="AW78" s="0" t="s">
        <v>438</v>
      </c>
    </row>
    <row r="79" customFormat="false" ht="12.75" hidden="false" customHeight="false" outlineLevel="0" collapsed="false">
      <c r="AV79" s="0" t="s">
        <v>439</v>
      </c>
      <c r="AW79" s="0" t="s">
        <v>440</v>
      </c>
    </row>
    <row r="80" customFormat="false" ht="12.75" hidden="false" customHeight="false" outlineLevel="0" collapsed="false">
      <c r="AV80" s="0" t="s">
        <v>441</v>
      </c>
      <c r="AW80" s="0" t="s">
        <v>442</v>
      </c>
    </row>
    <row r="81" customFormat="false" ht="12.75" hidden="false" customHeight="false" outlineLevel="0" collapsed="false">
      <c r="AV81" s="0" t="s">
        <v>443</v>
      </c>
      <c r="AW81" s="0" t="s">
        <v>444</v>
      </c>
    </row>
    <row r="82" customFormat="false" ht="12.75" hidden="false" customHeight="false" outlineLevel="0" collapsed="false">
      <c r="AV82" s="0" t="s">
        <v>445</v>
      </c>
      <c r="AW82" s="0" t="s">
        <v>446</v>
      </c>
    </row>
    <row r="83" customFormat="false" ht="12.75" hidden="false" customHeight="false" outlineLevel="0" collapsed="false">
      <c r="AV83" s="0" t="s">
        <v>447</v>
      </c>
      <c r="AW83" s="0" t="s">
        <v>448</v>
      </c>
    </row>
    <row r="84" customFormat="false" ht="12.75" hidden="false" customHeight="false" outlineLevel="0" collapsed="false">
      <c r="AV84" s="0" t="s">
        <v>449</v>
      </c>
      <c r="AW84" s="0" t="s">
        <v>450</v>
      </c>
    </row>
    <row r="85" customFormat="false" ht="12.75" hidden="false" customHeight="false" outlineLevel="0" collapsed="false">
      <c r="AV85" s="0" t="s">
        <v>451</v>
      </c>
      <c r="AW85" s="0" t="s">
        <v>452</v>
      </c>
    </row>
    <row r="86" customFormat="false" ht="12.75" hidden="false" customHeight="false" outlineLevel="0" collapsed="false">
      <c r="AV86" s="0" t="s">
        <v>453</v>
      </c>
      <c r="AW86" s="0" t="s">
        <v>454</v>
      </c>
    </row>
    <row r="87" customFormat="false" ht="12.75" hidden="false" customHeight="false" outlineLevel="0" collapsed="false">
      <c r="AV87" s="0" t="s">
        <v>455</v>
      </c>
      <c r="AW87" s="0" t="s">
        <v>456</v>
      </c>
    </row>
    <row r="88" customFormat="false" ht="12.75" hidden="false" customHeight="false" outlineLevel="0" collapsed="false">
      <c r="AV88" s="0" t="s">
        <v>457</v>
      </c>
      <c r="AW88" s="0" t="s">
        <v>458</v>
      </c>
    </row>
    <row r="89" customFormat="false" ht="12.75" hidden="false" customHeight="false" outlineLevel="0" collapsed="false">
      <c r="AV89" s="0" t="s">
        <v>459</v>
      </c>
      <c r="AW89" s="0" t="s">
        <v>460</v>
      </c>
    </row>
    <row r="90" customFormat="false" ht="12.75" hidden="false" customHeight="false" outlineLevel="0" collapsed="false">
      <c r="AV90" s="0" t="s">
        <v>461</v>
      </c>
      <c r="AW90" s="0" t="s">
        <v>462</v>
      </c>
    </row>
    <row r="91" customFormat="false" ht="12.75" hidden="false" customHeight="false" outlineLevel="0" collapsed="false">
      <c r="AV91" s="0" t="s">
        <v>463</v>
      </c>
      <c r="AW91" s="0" t="s">
        <v>464</v>
      </c>
    </row>
    <row r="92" customFormat="false" ht="12.75" hidden="false" customHeight="false" outlineLevel="0" collapsed="false">
      <c r="AV92" s="0" t="s">
        <v>465</v>
      </c>
      <c r="AW92" s="0" t="s">
        <v>466</v>
      </c>
    </row>
    <row r="93" customFormat="false" ht="12.75" hidden="false" customHeight="false" outlineLevel="0" collapsed="false">
      <c r="AV93" s="0" t="s">
        <v>467</v>
      </c>
      <c r="AW93" s="0" t="s">
        <v>468</v>
      </c>
    </row>
    <row r="94" customFormat="false" ht="12.75" hidden="false" customHeight="false" outlineLevel="0" collapsed="false">
      <c r="AV94" s="0" t="s">
        <v>469</v>
      </c>
      <c r="AW94" s="0" t="s">
        <v>470</v>
      </c>
    </row>
    <row r="95" customFormat="false" ht="12.75" hidden="false" customHeight="false" outlineLevel="0" collapsed="false">
      <c r="AV95" s="0" t="s">
        <v>471</v>
      </c>
      <c r="AW95" s="0" t="s">
        <v>471</v>
      </c>
    </row>
    <row r="96" customFormat="false" ht="12.75" hidden="false" customHeight="false" outlineLevel="0" collapsed="false">
      <c r="AV96" s="0" t="s">
        <v>472</v>
      </c>
      <c r="AW96" s="0" t="s">
        <v>473</v>
      </c>
    </row>
    <row r="97" customFormat="false" ht="12.75" hidden="false" customHeight="false" outlineLevel="0" collapsed="false">
      <c r="AV97" s="0" t="s">
        <v>474</v>
      </c>
      <c r="AW97" s="0" t="s">
        <v>475</v>
      </c>
    </row>
    <row r="98" customFormat="false" ht="12.75" hidden="false" customHeight="false" outlineLevel="0" collapsed="false">
      <c r="AV98" s="0" t="s">
        <v>476</v>
      </c>
      <c r="AW98" s="0" t="s">
        <v>476</v>
      </c>
    </row>
    <row r="99" customFormat="false" ht="12.75" hidden="false" customHeight="false" outlineLevel="0" collapsed="false">
      <c r="AV99" s="0" t="s">
        <v>477</v>
      </c>
      <c r="AW99" s="0" t="s">
        <v>477</v>
      </c>
    </row>
    <row r="100" customFormat="false" ht="12.75" hidden="false" customHeight="false" outlineLevel="0" collapsed="false">
      <c r="AV100" s="0" t="s">
        <v>477</v>
      </c>
      <c r="AW100" s="0" t="s">
        <v>477</v>
      </c>
    </row>
    <row r="101" customFormat="false" ht="12.75" hidden="false" customHeight="false" outlineLevel="0" collapsed="false">
      <c r="AV101" s="0" t="s">
        <v>478</v>
      </c>
      <c r="AW101" s="0" t="s">
        <v>479</v>
      </c>
    </row>
    <row r="102" customFormat="false" ht="12.75" hidden="false" customHeight="false" outlineLevel="0" collapsed="false">
      <c r="AV102" s="0" t="s">
        <v>480</v>
      </c>
      <c r="AW102" s="0" t="s">
        <v>481</v>
      </c>
    </row>
    <row r="103" customFormat="false" ht="12.75" hidden="false" customHeight="false" outlineLevel="0" collapsed="false">
      <c r="AV103" s="0" t="s">
        <v>482</v>
      </c>
      <c r="AW103" s="0" t="s">
        <v>483</v>
      </c>
    </row>
    <row r="104" customFormat="false" ht="12.75" hidden="false" customHeight="false" outlineLevel="0" collapsed="false">
      <c r="AV104" s="0" t="s">
        <v>484</v>
      </c>
      <c r="AW104" s="0" t="s">
        <v>485</v>
      </c>
    </row>
    <row r="105" customFormat="false" ht="12.75" hidden="false" customHeight="false" outlineLevel="0" collapsed="false">
      <c r="AV105" s="0" t="s">
        <v>486</v>
      </c>
      <c r="AW105" s="0" t="s">
        <v>487</v>
      </c>
    </row>
    <row r="106" customFormat="false" ht="12.75" hidden="false" customHeight="false" outlineLevel="0" collapsed="false">
      <c r="AV106" s="0" t="s">
        <v>488</v>
      </c>
      <c r="AW106" s="0" t="s">
        <v>489</v>
      </c>
    </row>
    <row r="107" customFormat="false" ht="12.75" hidden="false" customHeight="false" outlineLevel="0" collapsed="false">
      <c r="AV107" s="0" t="s">
        <v>490</v>
      </c>
      <c r="AW107" s="0" t="s">
        <v>491</v>
      </c>
    </row>
    <row r="108" customFormat="false" ht="12.75" hidden="false" customHeight="false" outlineLevel="0" collapsed="false">
      <c r="AV108" s="0" t="s">
        <v>492</v>
      </c>
      <c r="AW108" s="0" t="s">
        <v>493</v>
      </c>
    </row>
    <row r="109" customFormat="false" ht="12.75" hidden="false" customHeight="false" outlineLevel="0" collapsed="false">
      <c r="AV109" s="0" t="s">
        <v>494</v>
      </c>
      <c r="AW109" s="0" t="s">
        <v>495</v>
      </c>
    </row>
    <row r="110" customFormat="false" ht="12.75" hidden="false" customHeight="false" outlineLevel="0" collapsed="false">
      <c r="AV110" s="0" t="s">
        <v>496</v>
      </c>
      <c r="AW110" s="0" t="s">
        <v>497</v>
      </c>
    </row>
    <row r="111" customFormat="false" ht="12.75" hidden="false" customHeight="false" outlineLevel="0" collapsed="false">
      <c r="AV111" s="0" t="s">
        <v>498</v>
      </c>
      <c r="AW111" s="0" t="s">
        <v>499</v>
      </c>
    </row>
    <row r="112" customFormat="false" ht="12.75" hidden="false" customHeight="false" outlineLevel="0" collapsed="false">
      <c r="AV112" s="0" t="s">
        <v>500</v>
      </c>
      <c r="AW112" s="0" t="s">
        <v>501</v>
      </c>
    </row>
    <row r="113" customFormat="false" ht="12.75" hidden="false" customHeight="false" outlineLevel="0" collapsed="false">
      <c r="AV113" s="0" t="s">
        <v>502</v>
      </c>
      <c r="AW113" s="0" t="s">
        <v>503</v>
      </c>
    </row>
    <row r="114" customFormat="false" ht="12.75" hidden="false" customHeight="false" outlineLevel="0" collapsed="false">
      <c r="AV114" s="0" t="s">
        <v>504</v>
      </c>
      <c r="AW114" s="0" t="s">
        <v>505</v>
      </c>
    </row>
    <row r="115" customFormat="false" ht="12.75" hidden="false" customHeight="false" outlineLevel="0" collapsed="false">
      <c r="AV115" s="0" t="s">
        <v>506</v>
      </c>
      <c r="AW115" s="0" t="s">
        <v>507</v>
      </c>
    </row>
    <row r="116" customFormat="false" ht="12.75" hidden="false" customHeight="false" outlineLevel="0" collapsed="false">
      <c r="AV116" s="0" t="s">
        <v>508</v>
      </c>
      <c r="AW116" s="0" t="s">
        <v>509</v>
      </c>
    </row>
    <row r="117" customFormat="false" ht="12.75" hidden="false" customHeight="false" outlineLevel="0" collapsed="false">
      <c r="AV117" s="0" t="s">
        <v>510</v>
      </c>
      <c r="AW117" s="0" t="s">
        <v>511</v>
      </c>
    </row>
    <row r="118" customFormat="false" ht="12.75" hidden="false" customHeight="false" outlineLevel="0" collapsed="false">
      <c r="AV118" s="0" t="s">
        <v>512</v>
      </c>
      <c r="AW118" s="0" t="s">
        <v>513</v>
      </c>
    </row>
    <row r="119" customFormat="false" ht="12.75" hidden="false" customHeight="false" outlineLevel="0" collapsed="false">
      <c r="AV119" s="0" t="s">
        <v>514</v>
      </c>
      <c r="AW119" s="0" t="s">
        <v>514</v>
      </c>
    </row>
    <row r="120" customFormat="false" ht="12.75" hidden="false" customHeight="false" outlineLevel="0" collapsed="false">
      <c r="AV120" s="0" t="s">
        <v>515</v>
      </c>
      <c r="AW120" s="0" t="s">
        <v>515</v>
      </c>
    </row>
    <row r="121" customFormat="false" ht="12.75" hidden="false" customHeight="false" outlineLevel="0" collapsed="false">
      <c r="AV121" s="0" t="s">
        <v>516</v>
      </c>
      <c r="AW121" s="0" t="s">
        <v>517</v>
      </c>
    </row>
    <row r="122" customFormat="false" ht="12.75" hidden="false" customHeight="false" outlineLevel="0" collapsed="false">
      <c r="AV122" s="0" t="s">
        <v>518</v>
      </c>
      <c r="AW122" s="0" t="s">
        <v>519</v>
      </c>
    </row>
    <row r="123" customFormat="false" ht="12.75" hidden="false" customHeight="false" outlineLevel="0" collapsed="false">
      <c r="AV123" s="0" t="s">
        <v>520</v>
      </c>
      <c r="AW123" s="0" t="s">
        <v>521</v>
      </c>
    </row>
    <row r="124" customFormat="false" ht="12.75" hidden="false" customHeight="false" outlineLevel="0" collapsed="false">
      <c r="AV124" s="0" t="s">
        <v>522</v>
      </c>
      <c r="AW124" s="0" t="s">
        <v>523</v>
      </c>
    </row>
    <row r="125" customFormat="false" ht="12.75" hidden="false" customHeight="false" outlineLevel="0" collapsed="false">
      <c r="AV125" s="0" t="s">
        <v>524</v>
      </c>
      <c r="AW125" s="0" t="s">
        <v>525</v>
      </c>
    </row>
    <row r="126" customFormat="false" ht="12.75" hidden="false" customHeight="false" outlineLevel="0" collapsed="false">
      <c r="AV126" s="0" t="s">
        <v>526</v>
      </c>
      <c r="AW126" s="0" t="s">
        <v>527</v>
      </c>
    </row>
    <row r="127" customFormat="false" ht="12.75" hidden="false" customHeight="false" outlineLevel="0" collapsed="false">
      <c r="AV127" s="0" t="s">
        <v>528</v>
      </c>
      <c r="AW127" s="0" t="s">
        <v>529</v>
      </c>
    </row>
    <row r="128" customFormat="false" ht="12.75" hidden="false" customHeight="false" outlineLevel="0" collapsed="false">
      <c r="AV128" s="0" t="s">
        <v>530</v>
      </c>
      <c r="AW128" s="0" t="s">
        <v>531</v>
      </c>
    </row>
    <row r="129" customFormat="false" ht="12.75" hidden="false" customHeight="false" outlineLevel="0" collapsed="false">
      <c r="AV129" s="0" t="s">
        <v>532</v>
      </c>
      <c r="AW129" s="0" t="s">
        <v>533</v>
      </c>
    </row>
    <row r="130" customFormat="false" ht="12.75" hidden="false" customHeight="false" outlineLevel="0" collapsed="false">
      <c r="AV130" s="0" t="s">
        <v>534</v>
      </c>
      <c r="AW130" s="0" t="s">
        <v>535</v>
      </c>
    </row>
    <row r="131" customFormat="false" ht="12.75" hidden="false" customHeight="false" outlineLevel="0" collapsed="false">
      <c r="AV131" s="0" t="s">
        <v>536</v>
      </c>
      <c r="AW131" s="0" t="s">
        <v>537</v>
      </c>
    </row>
    <row r="132" customFormat="false" ht="12.75" hidden="false" customHeight="false" outlineLevel="0" collapsed="false">
      <c r="AV132" s="0" t="s">
        <v>538</v>
      </c>
      <c r="AW132" s="0" t="s">
        <v>539</v>
      </c>
    </row>
    <row r="133" customFormat="false" ht="12.75" hidden="false" customHeight="false" outlineLevel="0" collapsed="false">
      <c r="AV133" s="0" t="s">
        <v>540</v>
      </c>
      <c r="AW133" s="0" t="s">
        <v>541</v>
      </c>
    </row>
    <row r="134" customFormat="false" ht="12.75" hidden="false" customHeight="false" outlineLevel="0" collapsed="false">
      <c r="AV134" s="0" t="s">
        <v>542</v>
      </c>
      <c r="AW134" s="0" t="s">
        <v>543</v>
      </c>
    </row>
    <row r="135" customFormat="false" ht="12.75" hidden="false" customHeight="false" outlineLevel="0" collapsed="false">
      <c r="AV135" s="0" t="s">
        <v>544</v>
      </c>
      <c r="AW135" s="0" t="s">
        <v>545</v>
      </c>
    </row>
    <row r="136" customFormat="false" ht="12.75" hidden="false" customHeight="false" outlineLevel="0" collapsed="false">
      <c r="AV136" s="0" t="s">
        <v>546</v>
      </c>
      <c r="AW136" s="0" t="s">
        <v>547</v>
      </c>
    </row>
    <row r="137" customFormat="false" ht="12.75" hidden="false" customHeight="false" outlineLevel="0" collapsed="false">
      <c r="AV137" s="0" t="s">
        <v>548</v>
      </c>
      <c r="AW137" s="0" t="s">
        <v>549</v>
      </c>
    </row>
    <row r="138" customFormat="false" ht="12.75" hidden="false" customHeight="false" outlineLevel="0" collapsed="false">
      <c r="AV138" s="0" t="s">
        <v>550</v>
      </c>
      <c r="AW138" s="0" t="s">
        <v>551</v>
      </c>
    </row>
    <row r="139" customFormat="false" ht="12.75" hidden="false" customHeight="false" outlineLevel="0" collapsed="false">
      <c r="AV139" s="0" t="s">
        <v>552</v>
      </c>
      <c r="AW139" s="0" t="s">
        <v>553</v>
      </c>
    </row>
    <row r="140" customFormat="false" ht="12.75" hidden="false" customHeight="false" outlineLevel="0" collapsed="false">
      <c r="AV140" s="0" t="s">
        <v>554</v>
      </c>
      <c r="AW140" s="0" t="s">
        <v>555</v>
      </c>
    </row>
    <row r="141" customFormat="false" ht="12.75" hidden="false" customHeight="false" outlineLevel="0" collapsed="false">
      <c r="AV141" s="0" t="s">
        <v>556</v>
      </c>
      <c r="AW141" s="0" t="s">
        <v>557</v>
      </c>
    </row>
    <row r="142" customFormat="false" ht="12.75" hidden="false" customHeight="false" outlineLevel="0" collapsed="false">
      <c r="AV142" s="0" t="s">
        <v>558</v>
      </c>
      <c r="AW142" s="0" t="s">
        <v>559</v>
      </c>
    </row>
    <row r="143" customFormat="false" ht="12.75" hidden="false" customHeight="false" outlineLevel="0" collapsed="false">
      <c r="AV143" s="0" t="s">
        <v>543</v>
      </c>
      <c r="AW143" s="0" t="s">
        <v>543</v>
      </c>
    </row>
    <row r="144" customFormat="false" ht="12.75" hidden="false" customHeight="false" outlineLevel="0" collapsed="false">
      <c r="AV144" s="0" t="s">
        <v>560</v>
      </c>
      <c r="AW144" s="0" t="s">
        <v>560</v>
      </c>
    </row>
    <row r="145" customFormat="false" ht="12.75" hidden="false" customHeight="false" outlineLevel="0" collapsed="false">
      <c r="AV145" s="0" t="s">
        <v>561</v>
      </c>
      <c r="AW145" s="0" t="s">
        <v>561</v>
      </c>
    </row>
    <row r="146" customFormat="false" ht="12.75" hidden="false" customHeight="false" outlineLevel="0" collapsed="false">
      <c r="AV146" s="0" t="s">
        <v>562</v>
      </c>
      <c r="AW146" s="0" t="s">
        <v>547</v>
      </c>
    </row>
    <row r="147" customFormat="false" ht="12.75" hidden="false" customHeight="false" outlineLevel="0" collapsed="false">
      <c r="AV147" s="0" t="s">
        <v>563</v>
      </c>
      <c r="AW147" s="0" t="s">
        <v>564</v>
      </c>
    </row>
    <row r="148" customFormat="false" ht="12.75" hidden="false" customHeight="false" outlineLevel="0" collapsed="false">
      <c r="AV148" s="0" t="s">
        <v>565</v>
      </c>
      <c r="AW148" s="0" t="s">
        <v>566</v>
      </c>
    </row>
    <row r="149" customFormat="false" ht="12.75" hidden="false" customHeight="false" outlineLevel="0" collapsed="false">
      <c r="AV149" s="0" t="s">
        <v>567</v>
      </c>
      <c r="AW149" s="0" t="s">
        <v>568</v>
      </c>
    </row>
    <row r="150" customFormat="false" ht="12.75" hidden="false" customHeight="false" outlineLevel="0" collapsed="false">
      <c r="AV150" s="0" t="s">
        <v>567</v>
      </c>
      <c r="AW150" s="0" t="s">
        <v>568</v>
      </c>
    </row>
    <row r="151" customFormat="false" ht="12.75" hidden="false" customHeight="false" outlineLevel="0" collapsed="false">
      <c r="AV151" s="0" t="s">
        <v>569</v>
      </c>
      <c r="AW151" s="0" t="s">
        <v>569</v>
      </c>
    </row>
    <row r="152" customFormat="false" ht="12.75" hidden="false" customHeight="false" outlineLevel="0" collapsed="false">
      <c r="AV152" s="0" t="s">
        <v>570</v>
      </c>
      <c r="AW152" s="0" t="s">
        <v>571</v>
      </c>
    </row>
    <row r="153" customFormat="false" ht="12.75" hidden="false" customHeight="false" outlineLevel="0" collapsed="false">
      <c r="AV153" s="0" t="s">
        <v>572</v>
      </c>
      <c r="AW153" s="0" t="s">
        <v>573</v>
      </c>
    </row>
    <row r="154" customFormat="false" ht="12.75" hidden="false" customHeight="false" outlineLevel="0" collapsed="false">
      <c r="AV154" s="0" t="s">
        <v>574</v>
      </c>
      <c r="AW154" s="0" t="s">
        <v>575</v>
      </c>
    </row>
    <row r="155" customFormat="false" ht="12.75" hidden="false" customHeight="false" outlineLevel="0" collapsed="false">
      <c r="AV155" s="0" t="s">
        <v>576</v>
      </c>
      <c r="AW155" s="0" t="s">
        <v>577</v>
      </c>
    </row>
    <row r="156" customFormat="false" ht="12.75" hidden="false" customHeight="false" outlineLevel="0" collapsed="false">
      <c r="AV156" s="0" t="s">
        <v>578</v>
      </c>
      <c r="AW156" s="0" t="s">
        <v>579</v>
      </c>
    </row>
    <row r="157" customFormat="false" ht="12.75" hidden="false" customHeight="false" outlineLevel="0" collapsed="false">
      <c r="AV157" s="0" t="s">
        <v>580</v>
      </c>
      <c r="AW157" s="0" t="s">
        <v>581</v>
      </c>
    </row>
    <row r="158" customFormat="false" ht="12.75" hidden="false" customHeight="false" outlineLevel="0" collapsed="false">
      <c r="AV158" s="0" t="s">
        <v>582</v>
      </c>
      <c r="AW158" s="0" t="s">
        <v>583</v>
      </c>
    </row>
    <row r="159" customFormat="false" ht="12.75" hidden="false" customHeight="false" outlineLevel="0" collapsed="false">
      <c r="AV159" s="0" t="s">
        <v>584</v>
      </c>
      <c r="AW159" s="0" t="s">
        <v>585</v>
      </c>
    </row>
    <row r="160" customFormat="false" ht="12.75" hidden="false" customHeight="false" outlineLevel="0" collapsed="false">
      <c r="AV160" s="0" t="s">
        <v>586</v>
      </c>
      <c r="AW160" s="0" t="s">
        <v>587</v>
      </c>
    </row>
    <row r="161" customFormat="false" ht="12.75" hidden="false" customHeight="false" outlineLevel="0" collapsed="false">
      <c r="AV161" s="0" t="s">
        <v>588</v>
      </c>
      <c r="AW161" s="0" t="s">
        <v>589</v>
      </c>
    </row>
    <row r="162" customFormat="false" ht="12.75" hidden="false" customHeight="false" outlineLevel="0" collapsed="false">
      <c r="AV162" s="0" t="s">
        <v>590</v>
      </c>
      <c r="AW162" s="0" t="s">
        <v>591</v>
      </c>
    </row>
    <row r="163" customFormat="false" ht="12.75" hidden="false" customHeight="false" outlineLevel="0" collapsed="false">
      <c r="AV163" s="0" t="s">
        <v>592</v>
      </c>
      <c r="AW163" s="0" t="s">
        <v>593</v>
      </c>
    </row>
    <row r="164" customFormat="false" ht="12.75" hidden="false" customHeight="false" outlineLevel="0" collapsed="false">
      <c r="AV164" s="0" t="s">
        <v>594</v>
      </c>
      <c r="AW164" s="0" t="s">
        <v>595</v>
      </c>
    </row>
    <row r="165" customFormat="false" ht="12.75" hidden="false" customHeight="false" outlineLevel="0" collapsed="false">
      <c r="AV165" s="0" t="s">
        <v>596</v>
      </c>
      <c r="AW165" s="0" t="s">
        <v>597</v>
      </c>
    </row>
    <row r="166" customFormat="false" ht="12.75" hidden="false" customHeight="false" outlineLevel="0" collapsed="false">
      <c r="AV166" s="0" t="s">
        <v>598</v>
      </c>
      <c r="AW166" s="0" t="s">
        <v>598</v>
      </c>
    </row>
    <row r="167" customFormat="false" ht="12.75" hidden="false" customHeight="false" outlineLevel="0" collapsed="false">
      <c r="AV167" s="0" t="s">
        <v>599</v>
      </c>
      <c r="AW167" s="0" t="s">
        <v>600</v>
      </c>
    </row>
    <row r="168" customFormat="false" ht="12.75" hidden="false" customHeight="false" outlineLevel="0" collapsed="false">
      <c r="AV168" s="0" t="s">
        <v>601</v>
      </c>
      <c r="AW168" s="0" t="s">
        <v>602</v>
      </c>
    </row>
    <row r="169" customFormat="false" ht="12.75" hidden="false" customHeight="false" outlineLevel="0" collapsed="false">
      <c r="AV169" s="0" t="s">
        <v>603</v>
      </c>
      <c r="AW169" s="0" t="s">
        <v>604</v>
      </c>
    </row>
    <row r="170" customFormat="false" ht="12.75" hidden="false" customHeight="false" outlineLevel="0" collapsed="false">
      <c r="AV170" s="0" t="s">
        <v>605</v>
      </c>
      <c r="AW170" s="0" t="s">
        <v>606</v>
      </c>
    </row>
    <row r="171" customFormat="false" ht="12.75" hidden="false" customHeight="false" outlineLevel="0" collapsed="false">
      <c r="AV171" s="0" t="s">
        <v>607</v>
      </c>
      <c r="AW171" s="0" t="s">
        <v>608</v>
      </c>
    </row>
    <row r="172" customFormat="false" ht="12.75" hidden="false" customHeight="false" outlineLevel="0" collapsed="false">
      <c r="AV172" s="0" t="s">
        <v>609</v>
      </c>
      <c r="AW172" s="0" t="s">
        <v>610</v>
      </c>
    </row>
    <row r="173" customFormat="false" ht="12.75" hidden="false" customHeight="false" outlineLevel="0" collapsed="false">
      <c r="AV173" s="0" t="s">
        <v>611</v>
      </c>
      <c r="AW173" s="0" t="s">
        <v>612</v>
      </c>
    </row>
    <row r="174" customFormat="false" ht="12.75" hidden="false" customHeight="false" outlineLevel="0" collapsed="false">
      <c r="AV174" s="0" t="s">
        <v>613</v>
      </c>
      <c r="AW174" s="0" t="s">
        <v>614</v>
      </c>
    </row>
    <row r="175" customFormat="false" ht="12.75" hidden="false" customHeight="false" outlineLevel="0" collapsed="false">
      <c r="AV175" s="0" t="s">
        <v>615</v>
      </c>
      <c r="AW175" s="0" t="s">
        <v>616</v>
      </c>
    </row>
    <row r="176" customFormat="false" ht="12.75" hidden="false" customHeight="false" outlineLevel="0" collapsed="false">
      <c r="AV176" s="0" t="s">
        <v>617</v>
      </c>
      <c r="AW176" s="0" t="s">
        <v>618</v>
      </c>
    </row>
    <row r="177" customFormat="false" ht="12.75" hidden="false" customHeight="false" outlineLevel="0" collapsed="false">
      <c r="AV177" s="0" t="s">
        <v>619</v>
      </c>
      <c r="AW177" s="0" t="s">
        <v>620</v>
      </c>
    </row>
    <row r="178" customFormat="false" ht="12.75" hidden="false" customHeight="false" outlineLevel="0" collapsed="false">
      <c r="AV178" s="0" t="s">
        <v>621</v>
      </c>
      <c r="AW178" s="0" t="s">
        <v>622</v>
      </c>
    </row>
    <row r="179" customFormat="false" ht="12.75" hidden="false" customHeight="false" outlineLevel="0" collapsed="false">
      <c r="AV179" s="0" t="s">
        <v>623</v>
      </c>
      <c r="AW179" s="0" t="s">
        <v>624</v>
      </c>
    </row>
    <row r="180" customFormat="false" ht="12.75" hidden="false" customHeight="false" outlineLevel="0" collapsed="false">
      <c r="AV180" s="0" t="s">
        <v>625</v>
      </c>
      <c r="AW180" s="0" t="s">
        <v>626</v>
      </c>
    </row>
    <row r="181" customFormat="false" ht="12.75" hidden="false" customHeight="false" outlineLevel="0" collapsed="false">
      <c r="AV181" s="0" t="s">
        <v>627</v>
      </c>
      <c r="AW181" s="0" t="s">
        <v>628</v>
      </c>
    </row>
    <row r="182" customFormat="false" ht="12.75" hidden="false" customHeight="false" outlineLevel="0" collapsed="false">
      <c r="AV182" s="0" t="s">
        <v>629</v>
      </c>
      <c r="AW182" s="0" t="s">
        <v>630</v>
      </c>
    </row>
    <row r="183" customFormat="false" ht="12.75" hidden="false" customHeight="false" outlineLevel="0" collapsed="false">
      <c r="AV183" s="0" t="s">
        <v>631</v>
      </c>
      <c r="AW183" s="0" t="s">
        <v>632</v>
      </c>
    </row>
    <row r="184" customFormat="false" ht="12.75" hidden="false" customHeight="false" outlineLevel="0" collapsed="false">
      <c r="AV184" s="0" t="s">
        <v>633</v>
      </c>
      <c r="AW184" s="0" t="s">
        <v>634</v>
      </c>
    </row>
    <row r="185" customFormat="false" ht="12.75" hidden="false" customHeight="false" outlineLevel="0" collapsed="false">
      <c r="AV185" s="0" t="s">
        <v>635</v>
      </c>
      <c r="AW185" s="0" t="s">
        <v>636</v>
      </c>
    </row>
    <row r="186" customFormat="false" ht="12.75" hidden="false" customHeight="false" outlineLevel="0" collapsed="false">
      <c r="AV186" s="0" t="s">
        <v>637</v>
      </c>
      <c r="AW186" s="0" t="s">
        <v>638</v>
      </c>
    </row>
    <row r="187" customFormat="false" ht="12.75" hidden="false" customHeight="false" outlineLevel="0" collapsed="false">
      <c r="AV187" s="0" t="s">
        <v>639</v>
      </c>
      <c r="AW187" s="0" t="s">
        <v>640</v>
      </c>
    </row>
    <row r="188" customFormat="false" ht="12.75" hidden="false" customHeight="false" outlineLevel="0" collapsed="false">
      <c r="AV188" s="0" t="s">
        <v>641</v>
      </c>
      <c r="AW188" s="0" t="s">
        <v>642</v>
      </c>
    </row>
    <row r="189" customFormat="false" ht="12.75" hidden="false" customHeight="false" outlineLevel="0" collapsed="false">
      <c r="AV189" s="0" t="s">
        <v>643</v>
      </c>
      <c r="AW189" s="0" t="s">
        <v>644</v>
      </c>
    </row>
    <row r="190" customFormat="false" ht="12.75" hidden="false" customHeight="false" outlineLevel="0" collapsed="false">
      <c r="AV190" s="0" t="s">
        <v>645</v>
      </c>
      <c r="AW190" s="0" t="s">
        <v>646</v>
      </c>
    </row>
    <row r="191" customFormat="false" ht="12.75" hidden="false" customHeight="false" outlineLevel="0" collapsed="false">
      <c r="AV191" s="0" t="s">
        <v>647</v>
      </c>
      <c r="AW191" s="0" t="s">
        <v>648</v>
      </c>
    </row>
    <row r="192" customFormat="false" ht="12.75" hidden="false" customHeight="false" outlineLevel="0" collapsed="false">
      <c r="AV192" s="0" t="s">
        <v>649</v>
      </c>
      <c r="AW192" s="0" t="s">
        <v>650</v>
      </c>
    </row>
    <row r="193" customFormat="false" ht="12.75" hidden="false" customHeight="false" outlineLevel="0" collapsed="false">
      <c r="AV193" s="0" t="s">
        <v>651</v>
      </c>
      <c r="AW193" s="0" t="s">
        <v>652</v>
      </c>
    </row>
    <row r="194" customFormat="false" ht="12.75" hidden="false" customHeight="false" outlineLevel="0" collapsed="false">
      <c r="AV194" s="0" t="s">
        <v>653</v>
      </c>
      <c r="AW194" s="0" t="s">
        <v>654</v>
      </c>
    </row>
    <row r="195" customFormat="false" ht="12.75" hidden="false" customHeight="false" outlineLevel="0" collapsed="false">
      <c r="AV195" s="0" t="s">
        <v>655</v>
      </c>
      <c r="AW195" s="0" t="s">
        <v>656</v>
      </c>
    </row>
    <row r="196" customFormat="false" ht="12.75" hidden="false" customHeight="false" outlineLevel="0" collapsed="false">
      <c r="AV196" s="0" t="s">
        <v>657</v>
      </c>
      <c r="AW196" s="0" t="s">
        <v>658</v>
      </c>
    </row>
    <row r="197" customFormat="false" ht="12.75" hidden="false" customHeight="false" outlineLevel="0" collapsed="false">
      <c r="AV197" s="0" t="s">
        <v>659</v>
      </c>
      <c r="AW197" s="0" t="s">
        <v>660</v>
      </c>
    </row>
    <row r="198" customFormat="false" ht="12.75" hidden="false" customHeight="false" outlineLevel="0" collapsed="false">
      <c r="AV198" s="0" t="s">
        <v>661</v>
      </c>
      <c r="AW198" s="0" t="s">
        <v>662</v>
      </c>
    </row>
    <row r="199" customFormat="false" ht="12.75" hidden="false" customHeight="false" outlineLevel="0" collapsed="false">
      <c r="AV199" s="0" t="s">
        <v>663</v>
      </c>
      <c r="AW199" s="0" t="s">
        <v>664</v>
      </c>
    </row>
    <row r="200" customFormat="false" ht="12.75" hidden="false" customHeight="false" outlineLevel="0" collapsed="false">
      <c r="AV200" s="0" t="s">
        <v>665</v>
      </c>
      <c r="AW200" s="0" t="s">
        <v>666</v>
      </c>
    </row>
    <row r="201" customFormat="false" ht="12.75" hidden="false" customHeight="false" outlineLevel="0" collapsed="false">
      <c r="AV201" s="0" t="s">
        <v>667</v>
      </c>
      <c r="AW201" s="0" t="s">
        <v>668</v>
      </c>
    </row>
    <row r="202" customFormat="false" ht="12.75" hidden="false" customHeight="false" outlineLevel="0" collapsed="false">
      <c r="AV202" s="0" t="s">
        <v>669</v>
      </c>
      <c r="AW202" s="0" t="s">
        <v>670</v>
      </c>
    </row>
    <row r="203" customFormat="false" ht="12.75" hidden="false" customHeight="false" outlineLevel="0" collapsed="false">
      <c r="AV203" s="0" t="s">
        <v>671</v>
      </c>
      <c r="AW203" s="0" t="s">
        <v>672</v>
      </c>
    </row>
    <row r="204" customFormat="false" ht="12.75" hidden="false" customHeight="false" outlineLevel="0" collapsed="false">
      <c r="AV204" s="0" t="s">
        <v>673</v>
      </c>
      <c r="AW204" s="0" t="s">
        <v>674</v>
      </c>
    </row>
    <row r="205" customFormat="false" ht="12.75" hidden="false" customHeight="false" outlineLevel="0" collapsed="false">
      <c r="AV205" s="0" t="s">
        <v>675</v>
      </c>
      <c r="AW205" s="0" t="s">
        <v>676</v>
      </c>
    </row>
    <row r="206" customFormat="false" ht="12.75" hidden="false" customHeight="false" outlineLevel="0" collapsed="false">
      <c r="AV206" s="0" t="s">
        <v>677</v>
      </c>
      <c r="AW206" s="0" t="s">
        <v>678</v>
      </c>
    </row>
    <row r="207" customFormat="false" ht="12.75" hidden="false" customHeight="false" outlineLevel="0" collapsed="false">
      <c r="AV207" s="0" t="s">
        <v>679</v>
      </c>
      <c r="AW207" s="0" t="s">
        <v>680</v>
      </c>
    </row>
    <row r="208" customFormat="false" ht="12.75" hidden="false" customHeight="false" outlineLevel="0" collapsed="false">
      <c r="AV208" s="0" t="s">
        <v>681</v>
      </c>
      <c r="AW208" s="0" t="s">
        <v>682</v>
      </c>
    </row>
    <row r="209" customFormat="false" ht="12.75" hidden="false" customHeight="false" outlineLevel="0" collapsed="false">
      <c r="AV209" s="0" t="s">
        <v>683</v>
      </c>
      <c r="AW209" s="0" t="s">
        <v>684</v>
      </c>
    </row>
    <row r="210" customFormat="false" ht="12.75" hidden="false" customHeight="false" outlineLevel="0" collapsed="false">
      <c r="AV210" s="0" t="s">
        <v>685</v>
      </c>
      <c r="AW210" s="0" t="s">
        <v>686</v>
      </c>
    </row>
    <row r="211" customFormat="false" ht="12.75" hidden="false" customHeight="false" outlineLevel="0" collapsed="false">
      <c r="AV211" s="0" t="s">
        <v>687</v>
      </c>
      <c r="AW211" s="0" t="s">
        <v>687</v>
      </c>
    </row>
    <row r="212" customFormat="false" ht="12.75" hidden="false" customHeight="false" outlineLevel="0" collapsed="false">
      <c r="AV212" s="0" t="s">
        <v>688</v>
      </c>
      <c r="AW212" s="0" t="s">
        <v>688</v>
      </c>
    </row>
    <row r="213" customFormat="false" ht="12.75" hidden="false" customHeight="false" outlineLevel="0" collapsed="false">
      <c r="AV213" s="0" t="s">
        <v>689</v>
      </c>
      <c r="AW213" s="0" t="s">
        <v>690</v>
      </c>
    </row>
    <row r="214" customFormat="false" ht="12.75" hidden="false" customHeight="false" outlineLevel="0" collapsed="false">
      <c r="AV214" s="0" t="s">
        <v>691</v>
      </c>
      <c r="AW214" s="0" t="s">
        <v>690</v>
      </c>
    </row>
    <row r="215" customFormat="false" ht="12.75" hidden="false" customHeight="false" outlineLevel="0" collapsed="false">
      <c r="AV215" s="0" t="s">
        <v>692</v>
      </c>
      <c r="AW215" s="0" t="s">
        <v>692</v>
      </c>
    </row>
    <row r="216" customFormat="false" ht="12.75" hidden="false" customHeight="false" outlineLevel="0" collapsed="false">
      <c r="AV216" s="0" t="s">
        <v>693</v>
      </c>
      <c r="AW216" s="0" t="s">
        <v>693</v>
      </c>
    </row>
    <row r="217" customFormat="false" ht="12.75" hidden="false" customHeight="false" outlineLevel="0" collapsed="false">
      <c r="AV217" s="0" t="s">
        <v>694</v>
      </c>
      <c r="AW217" s="0" t="s">
        <v>695</v>
      </c>
    </row>
    <row r="218" customFormat="false" ht="12.75" hidden="false" customHeight="false" outlineLevel="0" collapsed="false">
      <c r="AV218" s="0" t="s">
        <v>696</v>
      </c>
      <c r="AW218" s="0" t="s">
        <v>697</v>
      </c>
    </row>
    <row r="219" customFormat="false" ht="12.75" hidden="false" customHeight="false" outlineLevel="0" collapsed="false">
      <c r="AV219" s="0" t="s">
        <v>698</v>
      </c>
      <c r="AW219" s="0" t="s">
        <v>698</v>
      </c>
    </row>
    <row r="220" customFormat="false" ht="12.75" hidden="false" customHeight="false" outlineLevel="0" collapsed="false">
      <c r="AV220" s="0" t="s">
        <v>699</v>
      </c>
      <c r="AW220" s="0" t="s">
        <v>700</v>
      </c>
    </row>
    <row r="222" customFormat="false" ht="12.75" hidden="false" customHeight="false" outlineLevel="0" collapsed="false">
      <c r="AV222" s="59"/>
      <c r="AW222" s="60"/>
    </row>
  </sheetData>
  <sheetProtection algorithmName="SHA-512" hashValue="fP+efA+lybnHBDW+Hcp2v+t8CFxD/Uvb4hw9BxxOg03jMG+vsVLRQmb5mw5MVsjBvSEcQZ6tVQ8vkRN0WTbaYQ==" saltValue="Ikm6DrTcu7rY69biO4/3jg==" spinCount="100000" sheet="true" objects="true" scenarios="true" autoFilter="false"/>
  <mergeCells count="9">
    <mergeCell ref="N1:AT1"/>
    <mergeCell ref="B3:C3"/>
    <mergeCell ref="B15:C15"/>
    <mergeCell ref="B21:C21"/>
    <mergeCell ref="B27:C27"/>
    <mergeCell ref="B35:C35"/>
    <mergeCell ref="B46:C46"/>
    <mergeCell ref="B50:C50"/>
    <mergeCell ref="B59:C59"/>
  </mergeCells>
  <conditionalFormatting sqref="B57:C58">
    <cfRule type="expression" priority="2" aboveAverage="0" equalAverage="0" bottom="0" percent="0" rank="0" text="" dxfId="6">
      <formula>CAIXA.Modo=0</formula>
    </cfRule>
  </conditionalFormatting>
  <conditionalFormatting sqref="B59:C61">
    <cfRule type="expression" priority="3" aboveAverage="0" equalAverage="0" bottom="0" percent="0" rank="0" text="" dxfId="7">
      <formula>CAIXA.Modo=0</formula>
    </cfRule>
  </conditionalFormatting>
  <dataValidations count="7">
    <dataValidation allowBlank="true" error="Digite somente datas válidas no formato mm/aaaa." errorStyle="stop" errorTitle="Dados inválidos" operator="between" showDropDown="false" showErrorMessage="true" showInputMessage="false" sqref="C19 C25 C36 C41 C47:C48" type="date">
      <formula1>36526</formula1>
      <formula2>72686</formula2>
    </dataValidation>
    <dataValidation allowBlank="true" error="Selecione na lista o regime previdênciário." errorStyle="stop" errorTitle="Erro:" operator="between" prompt="Selecione na lista o regime previdênciário." showDropDown="false" showErrorMessage="true" showInputMessage="true" sqref="C18" type="list">
      <formula1>DADOS.Lista.RegimePreviden</formula1>
      <formula2>0</formula2>
    </dataValidation>
    <dataValidation allowBlank="true" error="Digite um valor em percentual.&#10;&#10;Ou seja um valor de 0% (zero) até 100% (cem). " errorStyle="stop" operator="between" showDropDown="false" showErrorMessage="true" showInputMessage="false" sqref="C11 C13:C14" type="decimal">
      <formula1>0</formula1>
      <formula2>1</formula2>
    </dataValidation>
    <dataValidation allowBlank="true" error="Selecione na lista a fonte de recursos." errorStyle="stop" errorTitle="Erro:" operator="between" prompt="Selecione na lista a fonte de recursos." showDropDown="false" showErrorMessage="true" showInputMessage="true" sqref="C4" type="list">
      <formula1>DADOS.Lista.FonteRecursos</formula1>
      <formula2>0</formula2>
    </dataValidation>
    <dataValidation allowBlank="true" error="Digite um valor maior do que 0." errorStyle="stop" operator="greaterThan" showDropDown="false" showErrorMessage="true" showInputMessage="false" sqref="C12" type="decimal">
      <formula1>0</formula1>
      <formula2>0</formula2>
    </dataValidation>
    <dataValidation allowBlank="true" error="Selecione na lista o regime de execução do CTEF." errorStyle="stop" errorTitle="Erro:" operator="between" prompt="Selecione na lista o regime de execução do CTEF." showDropDown="false" showErrorMessage="true" showInputMessage="true" sqref="C40" type="list">
      <formula1>DADOS.Lista.RegimeExecução</formula1>
      <formula2>0</formula2>
    </dataValidation>
    <dataValidation allowBlank="true" error="Selecione na lista a metodologia de arredondamento das frentes de obra." errorStyle="stop" errorTitle="Erro:" operator="between" prompt="Selecione na lista a metodologia de arredondamento das frentes de obra.&#10;&#10;Para CR que tramitam no TransfereGOV, obrigatoriamente, selecione a opção “TransfereGOV”.&#10;&#10;Para outros CR, preferencialmente, selecione a opção &quot;Tradicional&quot;.&#10;" showDropDown="false" showErrorMessage="true" showInputMessage="true" sqref="C31" type="list">
      <formula1>DADOS.Lista.Arredondamento</formula1>
      <formula2>0</formula2>
    </dataValidation>
  </dataValidations>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0" pageOrder="downThenOver" orientation="portrait" blackAndWhite="false" draft="false" cellComments="none" horizontalDpi="300" verticalDpi="300" copies="1"/>
  <headerFooter differentFirst="false" differentOddEven="false">
    <oddHeader>&amp;L_</oddHeader>
    <oddFooter>&amp;LPMv3.16&amp;R&amp;P /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46"/>
  <sheetViews>
    <sheetView showFormulas="false" showGridLines="false" showRowColHeaders="true" showZeros="true" rightToLeft="false" tabSelected="false" showOutlineSymbols="true" defaultGridColor="true" view="pageBreakPreview" topLeftCell="H1" colorId="64" zoomScale="100" zoomScaleNormal="100" zoomScalePageLayoutView="100" workbookViewId="0">
      <pane xSplit="0" ySplit="11" topLeftCell="A12" activePane="bottomLeft" state="frozen"/>
      <selection pane="topLeft" activeCell="H1" activeCellId="0" sqref="H1"/>
      <selection pane="bottomLeft" activeCell="A1" activeCellId="0" sqref="A1"/>
    </sheetView>
  </sheetViews>
  <sheetFormatPr defaultColWidth="8.6796875" defaultRowHeight="12.75" customHeight="false" zeroHeight="false" outlineLevelRow="0" outlineLevelCol="0"/>
  <cols>
    <col collapsed="false" customWidth="true" hidden="true" outlineLevel="0" max="4" min="1" style="95" width="5.57"/>
    <col collapsed="false" customWidth="true" hidden="true" outlineLevel="0" max="6" min="5" style="95" width="11.43"/>
    <col collapsed="false" customWidth="true" hidden="true" outlineLevel="0" max="7" min="7" style="95" width="11.85"/>
    <col collapsed="false" customWidth="true" hidden="false" outlineLevel="0" max="8" min="8" style="0" width="10.57"/>
    <col collapsed="false" customWidth="true" hidden="false" outlineLevel="0" max="9" min="9" style="0" width="3.57"/>
    <col collapsed="false" customWidth="true" hidden="false" outlineLevel="0" max="15" min="10" style="95" width="10.57"/>
    <col collapsed="false" customWidth="true" hidden="false" outlineLevel="0" max="16" min="16" style="95" width="12.86"/>
    <col collapsed="false" customWidth="true" hidden="false" outlineLevel="0" max="19" min="17" style="95" width="10.57"/>
  </cols>
  <sheetData>
    <row r="1" customFormat="false" ht="15" hidden="false" customHeight="false" outlineLevel="0" collapsed="false">
      <c r="E1" s="96" t="s">
        <v>701</v>
      </c>
      <c r="F1" s="96" t="s">
        <v>702</v>
      </c>
      <c r="G1" s="96" t="s">
        <v>703</v>
      </c>
      <c r="O1" s="97" t="str">
        <f aca="false">"Quadro de Composição do BDI"</f>
        <v>Quadro de Composição do BDI</v>
      </c>
      <c r="R1" s="98" t="s">
        <v>704</v>
      </c>
      <c r="S1" s="98"/>
    </row>
    <row r="2" customFormat="false" ht="12.75" hidden="false" customHeight="false" outlineLevel="0" collapsed="false">
      <c r="A2" s="95" t="s">
        <v>705</v>
      </c>
      <c r="B2" s="99" t="s">
        <v>706</v>
      </c>
      <c r="C2" s="95" t="str">
        <f aca="false">CONCATENATE(A2,"-",B2)</f>
        <v>Construção e Reforma de Edifícios-AC</v>
      </c>
      <c r="E2" s="100" t="n">
        <v>0.03</v>
      </c>
      <c r="F2" s="100" t="n">
        <v>0.04</v>
      </c>
      <c r="G2" s="100" t="n">
        <v>0.055</v>
      </c>
      <c r="R2" s="58" t="s">
        <v>707</v>
      </c>
      <c r="S2" s="58"/>
    </row>
    <row r="3" customFormat="false" ht="12.75" hidden="false" customHeight="false" outlineLevel="0" collapsed="false">
      <c r="A3" s="95" t="str">
        <f aca="false">A2</f>
        <v>Construção e Reforma de Edifícios</v>
      </c>
      <c r="B3" s="99" t="s">
        <v>708</v>
      </c>
      <c r="C3" s="95" t="str">
        <f aca="false">CONCATENATE(A3,"-",B3)</f>
        <v>Construção e Reforma de Edifícios-SG</v>
      </c>
      <c r="E3" s="100" t="n">
        <v>0.008</v>
      </c>
      <c r="F3" s="100" t="n">
        <v>0.008</v>
      </c>
      <c r="G3" s="100" t="n">
        <v>0.01</v>
      </c>
    </row>
    <row r="4" customFormat="false" ht="12.75" hidden="false" customHeight="false" outlineLevel="0" collapsed="false">
      <c r="A4" s="95" t="str">
        <f aca="false">A3</f>
        <v>Construção e Reforma de Edifícios</v>
      </c>
      <c r="B4" s="99" t="s">
        <v>709</v>
      </c>
      <c r="C4" s="95" t="str">
        <f aca="false">CONCATENATE(A4,"-",B4)</f>
        <v>Construção e Reforma de Edifícios-R</v>
      </c>
      <c r="E4" s="100" t="n">
        <v>0.0097</v>
      </c>
      <c r="F4" s="100" t="n">
        <v>0.0127</v>
      </c>
      <c r="G4" s="100" t="n">
        <v>0.0127</v>
      </c>
      <c r="J4" s="101" t="s">
        <v>710</v>
      </c>
      <c r="K4" s="101"/>
      <c r="L4" s="101" t="s">
        <v>711</v>
      </c>
      <c r="M4" s="101"/>
      <c r="N4" s="101" t="s">
        <v>712</v>
      </c>
      <c r="O4" s="101"/>
      <c r="P4" s="101"/>
      <c r="Q4" s="101"/>
      <c r="R4" s="101"/>
      <c r="S4" s="101"/>
    </row>
    <row r="5" customFormat="false" ht="12.75" hidden="false" customHeight="true" outlineLevel="0" collapsed="false">
      <c r="A5" s="95" t="str">
        <f aca="false">A4</f>
        <v>Construção e Reforma de Edifícios</v>
      </c>
      <c r="B5" s="99" t="s">
        <v>713</v>
      </c>
      <c r="C5" s="95" t="str">
        <f aca="false">CONCATENATE(A5,"-",B5)</f>
        <v>Construção e Reforma de Edifícios-DF</v>
      </c>
      <c r="E5" s="100" t="n">
        <v>0.0059</v>
      </c>
      <c r="F5" s="100" t="n">
        <v>0.0123</v>
      </c>
      <c r="G5" s="100" t="n">
        <v>0.0139</v>
      </c>
      <c r="J5" s="102" t="n">
        <f aca="false">Import.CR</f>
        <v>0</v>
      </c>
      <c r="K5" s="102"/>
      <c r="L5" s="102" t="n">
        <f aca="false">Import.TransfereGOV</f>
        <v>0</v>
      </c>
      <c r="M5" s="102"/>
      <c r="N5" s="102" t="str">
        <f aca="false">Import.Proponente</f>
        <v>PREFEITURA MUNICIPAL DE TRAMANDAI</v>
      </c>
      <c r="O5" s="102"/>
      <c r="P5" s="102"/>
      <c r="Q5" s="102"/>
      <c r="R5" s="102"/>
      <c r="S5" s="102"/>
    </row>
    <row r="6" customFormat="false" ht="12.75" hidden="false" customHeight="false" outlineLevel="0" collapsed="false">
      <c r="A6" s="95" t="str">
        <f aca="false">A5</f>
        <v>Construção e Reforma de Edifícios</v>
      </c>
      <c r="B6" s="99" t="s">
        <v>714</v>
      </c>
      <c r="C6" s="95" t="str">
        <f aca="false">CONCATENATE(A6,"-",B6)</f>
        <v>Construção e Reforma de Edifícios-L</v>
      </c>
      <c r="E6" s="100" t="n">
        <v>0.0616</v>
      </c>
      <c r="F6" s="100" t="n">
        <v>0.074</v>
      </c>
      <c r="G6" s="100" t="n">
        <v>0.0896</v>
      </c>
      <c r="I6" s="103" t="s">
        <v>715</v>
      </c>
      <c r="J6" s="104"/>
      <c r="K6" s="104"/>
      <c r="L6" s="104"/>
      <c r="M6" s="104"/>
      <c r="N6" s="104"/>
      <c r="O6" s="104"/>
      <c r="P6" s="104"/>
      <c r="Q6" s="104"/>
      <c r="R6" s="104"/>
      <c r="S6" s="104"/>
    </row>
    <row r="7" customFormat="false" ht="23.85" hidden="false" customHeight="false" outlineLevel="0" collapsed="false">
      <c r="A7" s="95" t="str">
        <f aca="false">A6</f>
        <v>Construção e Reforma de Edifícios</v>
      </c>
      <c r="B7" s="105" t="s">
        <v>716</v>
      </c>
      <c r="C7" s="95" t="str">
        <f aca="false">CONCATENATE(A7,"-",B7)</f>
        <v>Construção e Reforma de Edifícios-BDI PAD</v>
      </c>
      <c r="E7" s="100" t="n">
        <v>0.2034</v>
      </c>
      <c r="F7" s="100" t="n">
        <v>0.2212</v>
      </c>
      <c r="G7" s="100" t="n">
        <v>0.25</v>
      </c>
      <c r="I7" s="103"/>
      <c r="J7" s="101" t="s">
        <v>717</v>
      </c>
      <c r="K7" s="101"/>
      <c r="L7" s="101"/>
      <c r="M7" s="101"/>
      <c r="N7" s="101"/>
      <c r="O7" s="101"/>
      <c r="P7" s="101"/>
      <c r="Q7" s="101"/>
      <c r="R7" s="101"/>
      <c r="S7" s="101"/>
      <c r="U7" s="51" t="str">
        <f aca="false">IF(OR(U10&lt;&gt;"",U11&lt;&gt;""),"Falta preencher os percentuais do ISS",IF(U14&lt;&gt;"","Falta preencher o BDI 1",IF(U54&lt;&gt;"","Falta preencher o BDI 2",IF(U94&lt;&gt;"","Falta preencher o BDI 3",""))))</f>
        <v/>
      </c>
    </row>
    <row r="8" customFormat="false" ht="15" hidden="false" customHeight="false" outlineLevel="0" collapsed="false">
      <c r="A8" s="95" t="s">
        <v>718</v>
      </c>
      <c r="B8" s="99" t="s">
        <v>706</v>
      </c>
      <c r="C8" s="95" t="str">
        <f aca="false">CONCATENATE(A8,"-",B8)</f>
        <v>Construção de Praças Urbanas, Rodovias, Ferrovias e recapeamento e pavimentação de vias urbanas-AC</v>
      </c>
      <c r="E8" s="100" t="n">
        <v>0.038</v>
      </c>
      <c r="F8" s="100" t="n">
        <v>0.0401</v>
      </c>
      <c r="G8" s="100" t="n">
        <v>0.0467</v>
      </c>
      <c r="I8" s="103"/>
      <c r="J8" s="106" t="str">
        <f aca="false">Import.Apelido&amp;" / "&amp;Import.DescLote</f>
        <v>REVITALAIZAÇÃO DA ORLA DA BEIRA RIO / </v>
      </c>
      <c r="K8" s="106"/>
      <c r="L8" s="106"/>
      <c r="M8" s="106"/>
      <c r="N8" s="106"/>
      <c r="O8" s="106"/>
      <c r="P8" s="106"/>
      <c r="Q8" s="106"/>
      <c r="R8" s="106"/>
      <c r="S8" s="106"/>
      <c r="U8" s="51" t="str">
        <f aca="false">IF(U29="FORA DO INTERVALO","BDI 1 fora do intervalo",IF(U69="FORA DO INTERVALO","BDI 2 fora do intervalo",IF(U109="FORA DO INTERVALO","BDI 3 fora do intervalo","")))</f>
        <v/>
      </c>
    </row>
    <row r="9" customFormat="false" ht="12.75" hidden="false" customHeight="false" outlineLevel="0" collapsed="false">
      <c r="A9" s="95" t="s">
        <v>718</v>
      </c>
      <c r="B9" s="99" t="s">
        <v>708</v>
      </c>
      <c r="C9" s="95" t="str">
        <f aca="false">CONCATENATE(A9,"-",B9)</f>
        <v>Construção de Praças Urbanas, Rodovias, Ferrovias e recapeamento e pavimentação de vias urbanas-SG</v>
      </c>
      <c r="E9" s="100" t="n">
        <v>0.0032</v>
      </c>
      <c r="F9" s="100" t="n">
        <v>0.004</v>
      </c>
      <c r="G9" s="100" t="n">
        <v>0.0074</v>
      </c>
      <c r="I9" s="103"/>
      <c r="J9" s="104"/>
      <c r="K9" s="104"/>
      <c r="L9" s="104"/>
      <c r="M9" s="104"/>
      <c r="N9" s="104"/>
      <c r="O9" s="104"/>
      <c r="P9" s="104"/>
      <c r="Q9" s="104"/>
      <c r="R9" s="104"/>
      <c r="S9" s="104"/>
    </row>
    <row r="10" customFormat="false" ht="12.75" hidden="false" customHeight="true" outlineLevel="0" collapsed="false">
      <c r="A10" s="95" t="s">
        <v>718</v>
      </c>
      <c r="B10" s="99" t="s">
        <v>709</v>
      </c>
      <c r="C10" s="95" t="str">
        <f aca="false">CONCATENATE(A10,"-",B10)</f>
        <v>Construção de Praças Urbanas, Rodovias, Ferrovias e recapeamento e pavimentação de vias urbanas-R</v>
      </c>
      <c r="E10" s="100" t="n">
        <v>0.005</v>
      </c>
      <c r="F10" s="100" t="n">
        <v>0.0056</v>
      </c>
      <c r="G10" s="100" t="n">
        <v>0.0097</v>
      </c>
      <c r="I10" s="103"/>
      <c r="J10" s="107" t="s">
        <v>719</v>
      </c>
      <c r="K10" s="107"/>
      <c r="L10" s="107"/>
      <c r="M10" s="107"/>
      <c r="N10" s="107"/>
      <c r="O10" s="107"/>
      <c r="P10" s="107"/>
      <c r="Q10" s="107"/>
      <c r="R10" s="108" t="n">
        <v>1</v>
      </c>
      <c r="S10" s="108"/>
      <c r="U10" s="109" t="str">
        <f aca="false">IF(R10="","Falta definir a base de cálculo para o ISS","")</f>
        <v/>
      </c>
    </row>
    <row r="11" customFormat="false" ht="12.75" hidden="false" customHeight="true" outlineLevel="0" collapsed="false">
      <c r="A11" s="95" t="s">
        <v>718</v>
      </c>
      <c r="B11" s="99" t="s">
        <v>713</v>
      </c>
      <c r="C11" s="95" t="str">
        <f aca="false">CONCATENATE(A11,"-",B11)</f>
        <v>Construção de Praças Urbanas, Rodovias, Ferrovias e recapeamento e pavimentação de vias urbanas-DF</v>
      </c>
      <c r="E11" s="100" t="n">
        <v>0.0102</v>
      </c>
      <c r="F11" s="100" t="n">
        <v>0.0111</v>
      </c>
      <c r="G11" s="100" t="n">
        <v>0.0121</v>
      </c>
      <c r="I11" s="110" t="s">
        <v>720</v>
      </c>
      <c r="J11" s="111" t="s">
        <v>721</v>
      </c>
      <c r="K11" s="111"/>
      <c r="L11" s="111"/>
      <c r="M11" s="111"/>
      <c r="N11" s="111"/>
      <c r="O11" s="111"/>
      <c r="P11" s="111"/>
      <c r="Q11" s="111"/>
      <c r="R11" s="108" t="n">
        <v>0.02</v>
      </c>
      <c r="S11" s="108"/>
      <c r="U11" s="109" t="str">
        <f aca="false">IF(R11="","Falta definir a alíquota do ISS","")</f>
        <v/>
      </c>
    </row>
    <row r="12" customFormat="false" ht="12.75" hidden="false" customHeight="false" outlineLevel="0" collapsed="false">
      <c r="A12" s="95" t="s">
        <v>718</v>
      </c>
      <c r="B12" s="99" t="s">
        <v>714</v>
      </c>
      <c r="C12" s="95" t="str">
        <f aca="false">CONCATENATE(A12,"-",B12)</f>
        <v>Construção de Praças Urbanas, Rodovias, Ferrovias e recapeamento e pavimentação de vias urbanas-L</v>
      </c>
      <c r="E12" s="100" t="n">
        <v>0.0664</v>
      </c>
      <c r="F12" s="100" t="n">
        <v>0.073</v>
      </c>
      <c r="G12" s="100" t="n">
        <v>0.0869</v>
      </c>
      <c r="I12" s="48" t="s">
        <v>596</v>
      </c>
      <c r="J12" s="112"/>
      <c r="K12" s="112"/>
      <c r="L12" s="112"/>
      <c r="M12" s="112"/>
      <c r="N12" s="112"/>
      <c r="O12" s="112"/>
      <c r="P12" s="112"/>
      <c r="Q12" s="112"/>
      <c r="R12" s="112"/>
      <c r="S12" s="112"/>
    </row>
    <row r="13" customFormat="false" ht="15" hidden="false" customHeight="true" outlineLevel="0" collapsed="false">
      <c r="A13" s="95" t="s">
        <v>718</v>
      </c>
      <c r="B13" s="105" t="s">
        <v>716</v>
      </c>
      <c r="C13" s="95" t="str">
        <f aca="false">CONCATENATE(A13,"-",B13)</f>
        <v>Construção de Praças Urbanas, Rodovias, Ferrovias e recapeamento e pavimentação de vias urbanas-BDI PAD</v>
      </c>
      <c r="E13" s="100" t="n">
        <v>0.196</v>
      </c>
      <c r="F13" s="100" t="n">
        <v>0.2097</v>
      </c>
      <c r="G13" s="100" t="n">
        <v>0.2423</v>
      </c>
      <c r="I13" s="48" t="s">
        <v>596</v>
      </c>
    </row>
    <row r="14" customFormat="false" ht="15" hidden="false" customHeight="false" outlineLevel="0" collapsed="false">
      <c r="A14" s="95" t="s">
        <v>722</v>
      </c>
      <c r="B14" s="99" t="s">
        <v>706</v>
      </c>
      <c r="C14" s="95" t="str">
        <f aca="false">CONCATENATE(A14,"-",B14)</f>
        <v>Construção de Redes de Abastecimento de Água, Coleta de Esgoto-AC</v>
      </c>
      <c r="E14" s="100" t="n">
        <v>0.0343</v>
      </c>
      <c r="F14" s="100" t="n">
        <v>0.0493</v>
      </c>
      <c r="G14" s="100" t="n">
        <v>0.0671</v>
      </c>
      <c r="I14" s="48" t="s">
        <v>596</v>
      </c>
      <c r="J14" s="113" t="s">
        <v>723</v>
      </c>
      <c r="K14" s="113"/>
      <c r="L14" s="113"/>
      <c r="M14" s="113"/>
      <c r="N14" s="113"/>
      <c r="O14" s="113"/>
      <c r="P14" s="113"/>
      <c r="Q14" s="113"/>
      <c r="R14" s="113"/>
      <c r="S14" s="113"/>
      <c r="U14" s="51" t="str">
        <f aca="false">IF(COUNTIF(ORÇAMENTO!$V$15:$V$59,BDI_1.Título)=0,"",IF(OR(Import.BDI.Tipo1="(SELECIONAR)",Import.BDI.Tipo1="",U17&lt;&gt;"",AND($J17&lt;&gt;$A$145,OR(S21="",S22="",AND($J17&lt;&gt;$A$146,OR(S23="",S24="")),S25="",S26=""))),"Falta preencher o BDI 1",""))</f>
        <v/>
      </c>
    </row>
    <row r="15" customFormat="false" ht="12.75" hidden="false" customHeight="false" outlineLevel="0" collapsed="false">
      <c r="A15" s="95" t="str">
        <f aca="false">A14</f>
        <v>Construção de Redes de Abastecimento de Água, Coleta de Esgoto</v>
      </c>
      <c r="B15" s="99" t="s">
        <v>708</v>
      </c>
      <c r="C15" s="95" t="str">
        <f aca="false">CONCATENATE(A15,"-",B15)</f>
        <v>Construção de Redes de Abastecimento de Água, Coleta de Esgoto-SG</v>
      </c>
      <c r="E15" s="100" t="n">
        <v>0.0028</v>
      </c>
      <c r="F15" s="100" t="n">
        <v>0.0049</v>
      </c>
      <c r="G15" s="100" t="n">
        <v>0.0075</v>
      </c>
      <c r="I15" s="48" t="s">
        <v>596</v>
      </c>
    </row>
    <row r="16" customFormat="false" ht="12.75" hidden="false" customHeight="false" outlineLevel="0" collapsed="false">
      <c r="A16" s="95" t="str">
        <f aca="false">A15</f>
        <v>Construção de Redes de Abastecimento de Água, Coleta de Esgoto</v>
      </c>
      <c r="B16" s="99" t="s">
        <v>709</v>
      </c>
      <c r="C16" s="95" t="str">
        <f aca="false">CONCATENATE(A16,"-",B16)</f>
        <v>Construção de Redes de Abastecimento de Água, Coleta de Esgoto-R</v>
      </c>
      <c r="E16" s="100" t="n">
        <v>0.01</v>
      </c>
      <c r="F16" s="100" t="n">
        <v>0.0139</v>
      </c>
      <c r="G16" s="100" t="n">
        <v>0.0174</v>
      </c>
      <c r="I16" s="48" t="s">
        <v>596</v>
      </c>
      <c r="J16" s="101" t="s">
        <v>724</v>
      </c>
      <c r="K16" s="101"/>
      <c r="L16" s="101"/>
      <c r="M16" s="101"/>
      <c r="N16" s="101"/>
      <c r="O16" s="101"/>
      <c r="P16" s="101"/>
      <c r="Q16" s="101"/>
      <c r="R16" s="101"/>
      <c r="S16" s="101"/>
    </row>
    <row r="17" customFormat="false" ht="13.8" hidden="false" customHeight="false" outlineLevel="0" collapsed="false">
      <c r="A17" s="95" t="str">
        <f aca="false">A16</f>
        <v>Construção de Redes de Abastecimento de Água, Coleta de Esgoto</v>
      </c>
      <c r="B17" s="99" t="s">
        <v>713</v>
      </c>
      <c r="C17" s="95" t="str">
        <f aca="false">CONCATENATE(A17,"-",B17)</f>
        <v>Construção de Redes de Abastecimento de Água, Coleta de Esgoto-DF</v>
      </c>
      <c r="E17" s="100" t="n">
        <v>0.0094</v>
      </c>
      <c r="F17" s="100" t="n">
        <v>0.0099</v>
      </c>
      <c r="G17" s="100" t="n">
        <v>0.0117</v>
      </c>
      <c r="I17" s="48" t="s">
        <v>596</v>
      </c>
      <c r="J17" s="114" t="s">
        <v>718</v>
      </c>
      <c r="K17" s="114"/>
      <c r="L17" s="114"/>
      <c r="M17" s="114"/>
      <c r="N17" s="114"/>
      <c r="O17" s="114"/>
      <c r="P17" s="114"/>
      <c r="Q17" s="114"/>
      <c r="R17" s="114"/>
      <c r="S17" s="114"/>
      <c r="T17" s="66" t="str">
        <f aca="false">IF(U17="","","◄")</f>
        <v/>
      </c>
      <c r="U17" s="62" t="str">
        <f aca="false">IF(AND(OR(S29&gt;0,COUNTIF(ORÇAMENTO!$V$15:$V$59,BDI_1.Título)&gt;0),OR(Import.BDI.Tipo1="(SELECIONAR)",Import.BDI.Tipo1="")),"Selecione o Tipo de obra","")</f>
        <v/>
      </c>
    </row>
    <row r="18" customFormat="false" ht="12.75" hidden="false" customHeight="false" outlineLevel="0" collapsed="false">
      <c r="A18" s="95" t="str">
        <f aca="false">A17</f>
        <v>Construção de Redes de Abastecimento de Água, Coleta de Esgoto</v>
      </c>
      <c r="B18" s="99" t="s">
        <v>714</v>
      </c>
      <c r="C18" s="95" t="str">
        <f aca="false">CONCATENATE(A18,"-",B18)</f>
        <v>Construção de Redes de Abastecimento de Água, Coleta de Esgoto-L</v>
      </c>
      <c r="E18" s="100" t="n">
        <v>0.0674</v>
      </c>
      <c r="F18" s="100" t="n">
        <v>0.0804</v>
      </c>
      <c r="G18" s="100" t="n">
        <v>0.094</v>
      </c>
      <c r="I18" s="48" t="s">
        <v>596</v>
      </c>
    </row>
    <row r="19" customFormat="false" ht="12.75" hidden="false" customHeight="true" outlineLevel="0" collapsed="false">
      <c r="A19" s="95" t="str">
        <f aca="false">A18</f>
        <v>Construção de Redes de Abastecimento de Água, Coleta de Esgoto</v>
      </c>
      <c r="B19" s="105" t="s">
        <v>716</v>
      </c>
      <c r="C19" s="95" t="str">
        <f aca="false">CONCATENATE(A19,"-",B19)</f>
        <v>Construção de Redes de Abastecimento de Água, Coleta de Esgoto-BDI PAD</v>
      </c>
      <c r="E19" s="100" t="n">
        <v>0.2076</v>
      </c>
      <c r="F19" s="100" t="n">
        <v>0.2418</v>
      </c>
      <c r="G19" s="100" t="n">
        <v>0.2644</v>
      </c>
      <c r="I19" s="48" t="s">
        <v>596</v>
      </c>
      <c r="J19" s="115" t="s">
        <v>725</v>
      </c>
      <c r="K19" s="115"/>
      <c r="L19" s="115"/>
      <c r="M19" s="115"/>
      <c r="N19" s="115"/>
      <c r="O19" s="115"/>
      <c r="P19" s="115"/>
      <c r="Q19" s="115"/>
      <c r="R19" s="115" t="s">
        <v>726</v>
      </c>
      <c r="S19" s="116" t="s">
        <v>727</v>
      </c>
      <c r="U19" s="116" t="s">
        <v>728</v>
      </c>
      <c r="V19" s="116"/>
      <c r="W19" s="116"/>
      <c r="X19" s="117" t="s">
        <v>729</v>
      </c>
      <c r="Y19" s="117" t="s">
        <v>730</v>
      </c>
      <c r="Z19" s="117" t="s">
        <v>731</v>
      </c>
    </row>
    <row r="20" customFormat="false" ht="12.75" hidden="false" customHeight="true" outlineLevel="0" collapsed="false">
      <c r="A20" s="95" t="s">
        <v>732</v>
      </c>
      <c r="B20" s="99" t="s">
        <v>706</v>
      </c>
      <c r="C20" s="95" t="str">
        <f aca="false">CONCATENATE(A20,"-",B20)</f>
        <v>Construção e Manutenção de Estações e Redes de Distribuição de Energia Elétrica-AC</v>
      </c>
      <c r="E20" s="100" t="n">
        <v>0.0529</v>
      </c>
      <c r="F20" s="100" t="n">
        <v>0.0592</v>
      </c>
      <c r="G20" s="100" t="n">
        <v>0.0793</v>
      </c>
      <c r="I20" s="48" t="s">
        <v>596</v>
      </c>
      <c r="J20" s="115"/>
      <c r="K20" s="115"/>
      <c r="L20" s="115"/>
      <c r="M20" s="115"/>
      <c r="N20" s="115"/>
      <c r="O20" s="115"/>
      <c r="P20" s="115"/>
      <c r="Q20" s="115"/>
      <c r="R20" s="115"/>
      <c r="S20" s="116"/>
      <c r="U20" s="116"/>
      <c r="V20" s="116"/>
      <c r="W20" s="116"/>
      <c r="X20" s="117"/>
      <c r="Y20" s="117"/>
      <c r="Z20" s="117"/>
    </row>
    <row r="21" customFormat="false" ht="15" hidden="false" customHeight="true" outlineLevel="0" collapsed="false">
      <c r="A21" s="95" t="str">
        <f aca="false">A20</f>
        <v>Construção e Manutenção de Estações e Redes de Distribuição de Energia Elétrica</v>
      </c>
      <c r="B21" s="99" t="s">
        <v>708</v>
      </c>
      <c r="C21" s="95" t="str">
        <f aca="false">CONCATENATE(A21,"-",B21)</f>
        <v>Construção e Manutenção de Estações e Redes de Distribuição de Energia Elétrica-SG</v>
      </c>
      <c r="E21" s="100" t="n">
        <v>0.0025</v>
      </c>
      <c r="F21" s="100" t="n">
        <v>0.0051</v>
      </c>
      <c r="G21" s="100" t="n">
        <v>0.0056</v>
      </c>
      <c r="I21" s="48" t="s">
        <v>596</v>
      </c>
      <c r="J21" s="118" t="str">
        <f aca="false">IF($J$17=$A$146,"Encargos Sociais incidentes sobre a mão de obra","Administração Central")</f>
        <v>Administração Central</v>
      </c>
      <c r="K21" s="118"/>
      <c r="L21" s="118"/>
      <c r="M21" s="118"/>
      <c r="N21" s="118"/>
      <c r="O21" s="118"/>
      <c r="P21" s="118"/>
      <c r="Q21" s="118"/>
      <c r="R21" s="119" t="str">
        <f aca="false">IF($J17=$A$146,"K1","AC")</f>
        <v>AC</v>
      </c>
      <c r="S21" s="120" t="n">
        <v>0.0401</v>
      </c>
      <c r="T21" s="121" t="str">
        <f aca="false">IF(AND($U$14&lt;&gt;"",$U$17="",R21&lt;&gt;"",S21=""),"◄","")</f>
        <v/>
      </c>
      <c r="U21" s="122" t="str">
        <f aca="false">IFERROR(IF(T21="◄","FALTA PREENCHER",IF(AND(OR(S21&gt;=X21,X21="-"),OR(S21&lt;=Z21,Z21="-")),"OK","FORA DO INTERVALO")),"-")</f>
        <v>OK</v>
      </c>
      <c r="V21" s="122"/>
      <c r="W21" s="122"/>
      <c r="X21" s="123" t="n">
        <f aca="false">VLOOKUP(CONCATENATE(J17,"-",R21),$C$2:$G$136,3,FALSE())</f>
        <v>0.038</v>
      </c>
      <c r="Y21" s="123" t="n">
        <f aca="false">VLOOKUP(CONCATENATE(J17,"-",R21),$C$2:$G$136,4,FALSE())</f>
        <v>0.0401</v>
      </c>
      <c r="Z21" s="123" t="n">
        <f aca="false">VLOOKUP(CONCATENATE(J17,"-",R21),$C$2:$G$136,5,FALSE())</f>
        <v>0.0467</v>
      </c>
    </row>
    <row r="22" customFormat="false" ht="15" hidden="false" customHeight="true" outlineLevel="0" collapsed="false">
      <c r="A22" s="95" t="str">
        <f aca="false">A21</f>
        <v>Construção e Manutenção de Estações e Redes de Distribuição de Energia Elétrica</v>
      </c>
      <c r="B22" s="99" t="s">
        <v>709</v>
      </c>
      <c r="C22" s="95" t="str">
        <f aca="false">CONCATENATE(A22,"-",B22)</f>
        <v>Construção e Manutenção de Estações e Redes de Distribuição de Energia Elétrica-R</v>
      </c>
      <c r="E22" s="100" t="n">
        <v>0.01</v>
      </c>
      <c r="F22" s="100" t="n">
        <v>0.0148</v>
      </c>
      <c r="G22" s="100" t="n">
        <v>0.0197</v>
      </c>
      <c r="I22" s="48" t="s">
        <v>596</v>
      </c>
      <c r="J22" s="118" t="str">
        <f aca="false">IF($J$17=$A$146,"Administração Central da empresa ou consultoria - overhead","Seguro e Garantia")</f>
        <v>Seguro e Garantia</v>
      </c>
      <c r="K22" s="118"/>
      <c r="L22" s="118"/>
      <c r="M22" s="118"/>
      <c r="N22" s="118"/>
      <c r="O22" s="118"/>
      <c r="P22" s="118"/>
      <c r="Q22" s="118"/>
      <c r="R22" s="119" t="str">
        <f aca="false">IF($J17=$A$146,"K2","SG")</f>
        <v>SG</v>
      </c>
      <c r="S22" s="120" t="n">
        <v>0.004</v>
      </c>
      <c r="T22" s="121" t="str">
        <f aca="false">IF(AND($U$14&lt;&gt;"",$U$17="",R22&lt;&gt;"",S22=""),"◄","")</f>
        <v/>
      </c>
      <c r="U22" s="122" t="str">
        <f aca="false">IFERROR(IF(T22="◄","FALTA PREENCHER",IF(AND(OR(S22&gt;=X22,X22="-"),OR(S22&lt;=Z22,Z22="-")),"OK","FORA DO INTERVALO")),"-")</f>
        <v>OK</v>
      </c>
      <c r="V22" s="122"/>
      <c r="W22" s="122"/>
      <c r="X22" s="123" t="n">
        <f aca="false">VLOOKUP(CONCATENATE(J17,"-",R22),$C$2:$G$136,3,FALSE())</f>
        <v>0.0032</v>
      </c>
      <c r="Y22" s="123" t="n">
        <f aca="false">VLOOKUP(CONCATENATE(J17,"-",R22),$C$2:$G$136,4,FALSE())</f>
        <v>0.004</v>
      </c>
      <c r="Z22" s="123" t="n">
        <f aca="false">VLOOKUP(CONCATENATE(J17,"-",R22),$C$2:$G$136,5,FALSE())</f>
        <v>0.0074</v>
      </c>
    </row>
    <row r="23" customFormat="false" ht="15" hidden="false" customHeight="true" outlineLevel="0" collapsed="false">
      <c r="A23" s="95" t="str">
        <f aca="false">A22</f>
        <v>Construção e Manutenção de Estações e Redes de Distribuição de Energia Elétrica</v>
      </c>
      <c r="B23" s="99" t="s">
        <v>713</v>
      </c>
      <c r="C23" s="95" t="str">
        <f aca="false">CONCATENATE(A23,"-",B23)</f>
        <v>Construção e Manutenção de Estações e Redes de Distribuição de Energia Elétrica-DF</v>
      </c>
      <c r="E23" s="100" t="n">
        <v>0.0101</v>
      </c>
      <c r="F23" s="100" t="n">
        <v>0.0107</v>
      </c>
      <c r="G23" s="100" t="n">
        <v>0.0111</v>
      </c>
      <c r="I23" s="48" t="s">
        <v>596</v>
      </c>
      <c r="J23" s="118" t="s">
        <v>733</v>
      </c>
      <c r="K23" s="118"/>
      <c r="L23" s="118"/>
      <c r="M23" s="118"/>
      <c r="N23" s="118"/>
      <c r="O23" s="118"/>
      <c r="P23" s="118"/>
      <c r="Q23" s="118"/>
      <c r="R23" s="119" t="str">
        <f aca="false">IF($J17=$A$146,"","R")</f>
        <v>R</v>
      </c>
      <c r="S23" s="120" t="n">
        <v>0.0056</v>
      </c>
      <c r="T23" s="121" t="str">
        <f aca="false">IF(AND($U$14&lt;&gt;"",$U$17="",R23&lt;&gt;"",S23=""),"◄","")</f>
        <v/>
      </c>
      <c r="U23" s="122" t="str">
        <f aca="false">IFERROR(IF(T23="◄","FALTA PREENCHER",IF(AND(OR(S23&gt;=X23,X23="-"),OR(S23&lt;=Z23,Z23="-")),"OK","FORA DO INTERVALO")),"-")</f>
        <v>OK</v>
      </c>
      <c r="V23" s="122"/>
      <c r="W23" s="122"/>
      <c r="X23" s="123" t="n">
        <f aca="false">VLOOKUP(CONCATENATE(J17,"-",R23),$C$2:$G$136,3,FALSE())</f>
        <v>0.005</v>
      </c>
      <c r="Y23" s="123" t="n">
        <f aca="false">VLOOKUP(CONCATENATE(J17,"-",R23),$C$2:$G$136,4,FALSE())</f>
        <v>0.0056</v>
      </c>
      <c r="Z23" s="123" t="n">
        <f aca="false">VLOOKUP(CONCATENATE(J17,"-",R23),$C$2:$G$136,5,FALSE())</f>
        <v>0.0097</v>
      </c>
    </row>
    <row r="24" customFormat="false" ht="15" hidden="false" customHeight="true" outlineLevel="0" collapsed="false">
      <c r="A24" s="95" t="str">
        <f aca="false">A23</f>
        <v>Construção e Manutenção de Estações e Redes de Distribuição de Energia Elétrica</v>
      </c>
      <c r="B24" s="99" t="s">
        <v>714</v>
      </c>
      <c r="C24" s="95" t="str">
        <f aca="false">CONCATENATE(A24,"-",B24)</f>
        <v>Construção e Manutenção de Estações e Redes de Distribuição de Energia Elétrica-L</v>
      </c>
      <c r="E24" s="100" t="n">
        <v>0.08</v>
      </c>
      <c r="F24" s="100" t="n">
        <v>0.0831</v>
      </c>
      <c r="G24" s="100" t="n">
        <v>0.0951</v>
      </c>
      <c r="I24" s="48" t="s">
        <v>596</v>
      </c>
      <c r="J24" s="118" t="s">
        <v>734</v>
      </c>
      <c r="K24" s="118"/>
      <c r="L24" s="118"/>
      <c r="M24" s="118"/>
      <c r="N24" s="118"/>
      <c r="O24" s="118"/>
      <c r="P24" s="118"/>
      <c r="Q24" s="118"/>
      <c r="R24" s="119" t="str">
        <f aca="false">IF($J17=$A$146,"","DF")</f>
        <v>DF</v>
      </c>
      <c r="S24" s="120" t="n">
        <v>0.0111</v>
      </c>
      <c r="T24" s="121" t="str">
        <f aca="false">IF(AND($U$14&lt;&gt;"",$U$17="",R24&lt;&gt;"",S24=""),"◄","")</f>
        <v/>
      </c>
      <c r="U24" s="122" t="str">
        <f aca="false">IFERROR(IF(T24="◄","FALTA PREENCHER",IF(AND(OR(S24&gt;=X24,X24="-"),OR(S24&lt;=Z24,Z24="-")),"OK","FORA DO INTERVALO")),"-")</f>
        <v>OK</v>
      </c>
      <c r="V24" s="122"/>
      <c r="W24" s="122"/>
      <c r="X24" s="123" t="n">
        <f aca="false">VLOOKUP(CONCATENATE(J17,"-",R24),$C$2:$G$136,3,FALSE())</f>
        <v>0.0102</v>
      </c>
      <c r="Y24" s="123" t="n">
        <f aca="false">VLOOKUP(CONCATENATE(J17,"-",R24),$C$2:$G$136,4,FALSE())</f>
        <v>0.0111</v>
      </c>
      <c r="Z24" s="123" t="n">
        <f aca="false">VLOOKUP(CONCATENATE(J17,"-",R24),$C$2:$G$136,5,FALSE())</f>
        <v>0.0121</v>
      </c>
    </row>
    <row r="25" customFormat="false" ht="15" hidden="false" customHeight="true" outlineLevel="0" collapsed="false">
      <c r="A25" s="95" t="str">
        <f aca="false">A24</f>
        <v>Construção e Manutenção de Estações e Redes de Distribuição de Energia Elétrica</v>
      </c>
      <c r="B25" s="105" t="s">
        <v>716</v>
      </c>
      <c r="C25" s="95" t="str">
        <f aca="false">CONCATENATE(A25,"-",B25)</f>
        <v>Construção e Manutenção de Estações e Redes de Distribuição de Energia Elétrica-BDI PAD</v>
      </c>
      <c r="E25" s="100" t="n">
        <v>0.24</v>
      </c>
      <c r="F25" s="100" t="n">
        <v>0.2584</v>
      </c>
      <c r="G25" s="100" t="n">
        <v>0.2786</v>
      </c>
      <c r="I25" s="48" t="s">
        <v>596</v>
      </c>
      <c r="J25" s="118" t="str">
        <f aca="false">IF($J$17=$A$146,"Margem bruta da empresa de consultoria","Lucro")</f>
        <v>Lucro</v>
      </c>
      <c r="K25" s="118"/>
      <c r="L25" s="118"/>
      <c r="M25" s="118"/>
      <c r="N25" s="118"/>
      <c r="O25" s="118"/>
      <c r="P25" s="118"/>
      <c r="Q25" s="118"/>
      <c r="R25" s="119" t="str">
        <f aca="false">IF($J17=$A$146,"K3","L")</f>
        <v>L</v>
      </c>
      <c r="S25" s="120" t="n">
        <v>0.0794</v>
      </c>
      <c r="T25" s="121" t="str">
        <f aca="false">IF(AND($U$14&lt;&gt;"",$U$17="",R25&lt;&gt;"",S25=""),"◄","")</f>
        <v/>
      </c>
      <c r="U25" s="122" t="str">
        <f aca="false">IFERROR(IF(T25="◄","FALTA PREENCHER",IF(AND(OR(S25&gt;=X25,X25="-"),OR(S25&lt;=Z25,Z25="-")),"OK","FORA DO INTERVALO")),"-")</f>
        <v>OK</v>
      </c>
      <c r="V25" s="122"/>
      <c r="W25" s="122"/>
      <c r="X25" s="123" t="n">
        <f aca="false">VLOOKUP(CONCATENATE(J17,"-",R25),$C$2:$G$136,3,FALSE())</f>
        <v>0.0664</v>
      </c>
      <c r="Y25" s="123" t="n">
        <f aca="false">VLOOKUP(CONCATENATE(J17,"-",R25),$C$2:$G$136,4,FALSE())</f>
        <v>0.073</v>
      </c>
      <c r="Z25" s="123" t="n">
        <f aca="false">VLOOKUP(CONCATENATE(J17,"-",R25),$C$2:$G$136,5,FALSE())</f>
        <v>0.0869</v>
      </c>
    </row>
    <row r="26" customFormat="false" ht="15" hidden="false" customHeight="true" outlineLevel="0" collapsed="false">
      <c r="A26" s="95" t="s">
        <v>735</v>
      </c>
      <c r="B26" s="99" t="s">
        <v>706</v>
      </c>
      <c r="C26" s="95" t="str">
        <f aca="false">CONCATENATE(A26,"-",B26)</f>
        <v>Obras Portuárias, Marítimas e Fluviais-AC</v>
      </c>
      <c r="E26" s="100" t="n">
        <v>0.04</v>
      </c>
      <c r="F26" s="100" t="n">
        <v>0.0552</v>
      </c>
      <c r="G26" s="100" t="n">
        <v>0.0785</v>
      </c>
      <c r="I26" s="48" t="s">
        <v>596</v>
      </c>
      <c r="J26" s="118" t="s">
        <v>736</v>
      </c>
      <c r="K26" s="118"/>
      <c r="L26" s="118"/>
      <c r="M26" s="118"/>
      <c r="N26" s="118"/>
      <c r="O26" s="118"/>
      <c r="P26" s="118"/>
      <c r="Q26" s="118"/>
      <c r="R26" s="119" t="s">
        <v>516</v>
      </c>
      <c r="S26" s="120" t="n">
        <v>0.0365</v>
      </c>
      <c r="T26" s="121" t="str">
        <f aca="false">IF(AND($U$14&lt;&gt;"",$U$17="",R26&lt;&gt;"",S26=""),"◄","")</f>
        <v/>
      </c>
      <c r="U26" s="122" t="str">
        <f aca="false">IFERROR(IF(T26="◄","FALTA PREENCHER",IF(AND(OR(S26&gt;=X26,X26="-"),OR(S26&lt;=Z26,Z26="-")),"OK","FORA DO INTERVALO")),"-")</f>
        <v>OK</v>
      </c>
      <c r="V26" s="122"/>
      <c r="W26" s="122"/>
      <c r="X26" s="123" t="n">
        <f aca="false">Y26</f>
        <v>0.0365</v>
      </c>
      <c r="Y26" s="123" t="n">
        <f aca="false">IF($J17=$A$145,"-",3.65%)</f>
        <v>0.0365</v>
      </c>
      <c r="Z26" s="123" t="n">
        <f aca="false">Y26</f>
        <v>0.0365</v>
      </c>
    </row>
    <row r="27" customFormat="false" ht="15" hidden="false" customHeight="true" outlineLevel="0" collapsed="false">
      <c r="A27" s="95" t="str">
        <f aca="false">A26</f>
        <v>Obras Portuárias, Marítimas e Fluviais</v>
      </c>
      <c r="B27" s="99" t="s">
        <v>708</v>
      </c>
      <c r="C27" s="95" t="str">
        <f aca="false">CONCATENATE(A27,"-",B27)</f>
        <v>Obras Portuárias, Marítimas e Fluviais-SG</v>
      </c>
      <c r="E27" s="100" t="n">
        <v>0.0081</v>
      </c>
      <c r="F27" s="100" t="n">
        <v>0.0122</v>
      </c>
      <c r="G27" s="100" t="n">
        <v>0.0199</v>
      </c>
      <c r="I27" s="48" t="s">
        <v>596</v>
      </c>
      <c r="J27" s="118" t="s">
        <v>737</v>
      </c>
      <c r="K27" s="118"/>
      <c r="L27" s="118"/>
      <c r="M27" s="118"/>
      <c r="N27" s="118"/>
      <c r="O27" s="118"/>
      <c r="P27" s="118"/>
      <c r="Q27" s="118"/>
      <c r="R27" s="119" t="s">
        <v>738</v>
      </c>
      <c r="S27" s="123" t="n">
        <f aca="true">IF(AND($J17&lt;&gt;$A$145,COUNTA(OFFSET(S20,1,0,6))&gt;0),$R$11*$R$10,0)</f>
        <v>0.02</v>
      </c>
      <c r="U27" s="122" t="str">
        <f aca="false">IFERROR(IF(T27="◄","FALTA PREENCHER",IF(AND(OR(S27&gt;=X27,X27="-"),OR(S27&lt;=Z27,Z27="-")),"OK","FORA DO INTERVALO")),"-")</f>
        <v>OK</v>
      </c>
      <c r="V27" s="122"/>
      <c r="W27" s="122"/>
      <c r="X27" s="123" t="n">
        <v>0</v>
      </c>
      <c r="Y27" s="123" t="n">
        <v>0.025</v>
      </c>
      <c r="Z27" s="123" t="n">
        <v>0.05</v>
      </c>
    </row>
    <row r="28" customFormat="false" ht="15" hidden="false" customHeight="true" outlineLevel="0" collapsed="false">
      <c r="A28" s="95" t="str">
        <f aca="false">A27</f>
        <v>Obras Portuárias, Marítimas e Fluviais</v>
      </c>
      <c r="B28" s="99" t="s">
        <v>709</v>
      </c>
      <c r="C28" s="95" t="str">
        <f aca="false">CONCATENATE(A28,"-",B28)</f>
        <v>Obras Portuárias, Marítimas e Fluviais-R</v>
      </c>
      <c r="E28" s="100" t="n">
        <v>0.0146</v>
      </c>
      <c r="F28" s="100" t="n">
        <v>0.0232</v>
      </c>
      <c r="G28" s="100" t="n">
        <v>0.0316</v>
      </c>
      <c r="I28" s="48" t="s">
        <v>596</v>
      </c>
      <c r="J28" s="118" t="s">
        <v>739</v>
      </c>
      <c r="K28" s="118"/>
      <c r="L28" s="118"/>
      <c r="M28" s="118"/>
      <c r="N28" s="118"/>
      <c r="O28" s="118"/>
      <c r="P28" s="118"/>
      <c r="Q28" s="118"/>
      <c r="R28" s="119" t="s">
        <v>740</v>
      </c>
      <c r="S28" s="123" t="n">
        <f aca="true" t="array" ref="S28:S28">IF(BDI.Opcao&lt;&gt;"Desonerado",0,IF(AND($J17&lt;&gt;$A$145,COUNTA(OFFSET(S20,1,0,6))&gt;0),IF(YEAR(Import.DataBase)&lt;2025,4.5%,IF(YEAR(Import.DataBase)=2025,3.6%,IF(YEAR(Import.DataBase)=2026,2.7%,IF(YEAR(Import.DataBase)=2027,1.8%,0%)))),0%))</f>
        <v>0.027</v>
      </c>
      <c r="U28" s="122" t="str">
        <f aca="false">IFERROR(IF(T28="◄","FALTA PREENCHER",IF(AND(OR(S28&gt;=X28,X28="-"),OR(S28&lt;=Z28,Z28="-")),"OK","FORA DO INTERVALO")),"-")</f>
        <v>OK</v>
      </c>
      <c r="V28" s="122"/>
      <c r="W28" s="122"/>
      <c r="X28" s="124" t="n">
        <f aca="false">$S28</f>
        <v>0.027</v>
      </c>
      <c r="Y28" s="124" t="n">
        <f aca="false">$S28</f>
        <v>0.027</v>
      </c>
      <c r="Z28" s="124" t="n">
        <f aca="false">$S28</f>
        <v>0.027</v>
      </c>
    </row>
    <row r="29" customFormat="false" ht="15" hidden="false" customHeight="true" outlineLevel="0" collapsed="false">
      <c r="A29" s="95" t="str">
        <f aca="false">A28</f>
        <v>Obras Portuárias, Marítimas e Fluviais</v>
      </c>
      <c r="B29" s="99" t="s">
        <v>713</v>
      </c>
      <c r="C29" s="95" t="str">
        <f aca="false">CONCATENATE(A29,"-",B29)</f>
        <v>Obras Portuárias, Marítimas e Fluviais-DF</v>
      </c>
      <c r="E29" s="100" t="n">
        <v>0.0094</v>
      </c>
      <c r="F29" s="100" t="n">
        <v>0.0102</v>
      </c>
      <c r="G29" s="100" t="n">
        <v>0.0133</v>
      </c>
      <c r="I29" s="48" t="s">
        <v>596</v>
      </c>
      <c r="J29" s="118" t="s">
        <v>741</v>
      </c>
      <c r="K29" s="118"/>
      <c r="L29" s="118"/>
      <c r="M29" s="118"/>
      <c r="N29" s="118"/>
      <c r="O29" s="118"/>
      <c r="P29" s="118"/>
      <c r="Q29" s="118"/>
      <c r="R29" s="125" t="s">
        <v>716</v>
      </c>
      <c r="S29" s="123" t="n">
        <f aca="false">IF($J17=$A$145,0,ROUND((((1+S21+S22+S23)*(1+S24)*(1+S25)/(1-(S26+S27)))-1),4))</f>
        <v>0.2142</v>
      </c>
      <c r="U29" s="116" t="str">
        <f aca="false">IFERROR(IF(AND(OR(S29&gt;=X29,X29="-"),OR(S29&lt;=Z29,Z29="-")),"OK","FORA DO INTERVALO"),IF(S29=0,"OK","Selecione o Tipo de obra"))</f>
        <v>OK</v>
      </c>
      <c r="V29" s="116"/>
      <c r="W29" s="116"/>
      <c r="X29" s="123" t="n">
        <f aca="false">IF($J17=$A$145,0,VLOOKUP(CONCATENATE($J17,"-",$R29),$C$2:$G$136,3,FALSE()))</f>
        <v>0.196</v>
      </c>
      <c r="Y29" s="123" t="n">
        <f aca="false">IF($J17=$A$145,0,VLOOKUP(CONCATENATE($J17,"-",$R29),$C$2:$G$136,4,FALSE()))</f>
        <v>0.2097</v>
      </c>
      <c r="Z29" s="123" t="n">
        <f aca="false">IF($J17=$A$145,0,VLOOKUP(CONCATENATE($J17,"-",$R29),$C$2:$G$136,5,FALSE()))</f>
        <v>0.2423</v>
      </c>
    </row>
    <row r="30" customFormat="false" ht="15" hidden="false" customHeight="true" outlineLevel="0" collapsed="false">
      <c r="A30" s="95" t="str">
        <f aca="false">A29</f>
        <v>Obras Portuárias, Marítimas e Fluviais</v>
      </c>
      <c r="B30" s="99" t="s">
        <v>714</v>
      </c>
      <c r="C30" s="95" t="str">
        <f aca="false">CONCATENATE(A30,"-",B30)</f>
        <v>Obras Portuárias, Marítimas e Fluviais-L</v>
      </c>
      <c r="E30" s="100" t="n">
        <v>0.0714</v>
      </c>
      <c r="F30" s="100" t="n">
        <v>0.084</v>
      </c>
      <c r="G30" s="100" t="n">
        <v>0.1043</v>
      </c>
      <c r="I30" s="48" t="s">
        <v>596</v>
      </c>
      <c r="J30" s="126" t="s">
        <v>742</v>
      </c>
      <c r="K30" s="126"/>
      <c r="L30" s="126"/>
      <c r="M30" s="126"/>
      <c r="N30" s="126"/>
      <c r="O30" s="126"/>
      <c r="P30" s="126"/>
      <c r="Q30" s="126"/>
      <c r="R30" s="126" t="s">
        <v>743</v>
      </c>
      <c r="S30" s="127" t="n">
        <f aca="false">IF($J17=$A$145,0,ROUND((((1+S21+S22+S23)*(1+S24)*(1+S25)/(1-(S26+S27+S28)))-1),4))</f>
        <v>0.25</v>
      </c>
    </row>
    <row r="31" customFormat="false" ht="15" hidden="false" customHeight="true" outlineLevel="0" collapsed="false">
      <c r="A31" s="95" t="str">
        <f aca="false">A30</f>
        <v>Obras Portuárias, Marítimas e Fluviais</v>
      </c>
      <c r="B31" s="105" t="s">
        <v>716</v>
      </c>
      <c r="C31" s="95" t="str">
        <f aca="false">CONCATENATE(A31,"-",B31)</f>
        <v>Obras Portuárias, Marítimas e Fluviais-BDI PAD</v>
      </c>
      <c r="E31" s="100" t="n">
        <v>0.228</v>
      </c>
      <c r="F31" s="100" t="n">
        <v>0.2748</v>
      </c>
      <c r="G31" s="100" t="n">
        <v>0.3095</v>
      </c>
      <c r="I31" s="48" t="s">
        <v>596</v>
      </c>
    </row>
    <row r="32" customFormat="false" ht="15" hidden="false" customHeight="false" outlineLevel="0" collapsed="false">
      <c r="A32" s="95" t="s">
        <v>744</v>
      </c>
      <c r="B32" s="99" t="s">
        <v>706</v>
      </c>
      <c r="C32" s="95" t="str">
        <f aca="false">CONCATENATE(A32,"-",B32)</f>
        <v>Fornecimento de Materiais e Equipamentos (aquisição indireta - em conjunto com licitação de obras)-AC</v>
      </c>
      <c r="E32" s="100" t="n">
        <v>0.015</v>
      </c>
      <c r="F32" s="100" t="n">
        <v>0.0345</v>
      </c>
      <c r="G32" s="100" t="n">
        <v>0.0449</v>
      </c>
      <c r="I32" s="48" t="s">
        <v>596</v>
      </c>
      <c r="J32" s="128" t="str">
        <f aca="false">IF(U29&lt;&gt;"ok","X","")</f>
        <v/>
      </c>
      <c r="K32" s="129" t="str">
        <f aca="false">IF(U29&lt;&gt;"ok","Anexo: Relatório Técnico Circunstanciado justificando a adoção do percentual de cada parcela do BDI.","")</f>
        <v/>
      </c>
      <c r="L32" s="129"/>
      <c r="M32" s="129"/>
      <c r="N32" s="129"/>
      <c r="O32" s="129"/>
      <c r="P32" s="129"/>
      <c r="Q32" s="129"/>
      <c r="R32" s="129"/>
      <c r="S32" s="129"/>
    </row>
    <row r="33" customFormat="false" ht="12.75" hidden="false" customHeight="false" outlineLevel="0" collapsed="false">
      <c r="A33" s="95" t="str">
        <f aca="false">A32</f>
        <v>Fornecimento de Materiais e Equipamentos (aquisição indireta - em conjunto com licitação de obras)</v>
      </c>
      <c r="B33" s="99" t="s">
        <v>708</v>
      </c>
      <c r="C33" s="95" t="str">
        <f aca="false">CONCATENATE(A33,"-",B33)</f>
        <v>Fornecimento de Materiais e Equipamentos (aquisição indireta - em conjunto com licitação de obras)-SG</v>
      </c>
      <c r="E33" s="100" t="n">
        <v>0.003</v>
      </c>
      <c r="F33" s="100" t="n">
        <v>0.0048</v>
      </c>
      <c r="G33" s="100" t="n">
        <v>0.0082</v>
      </c>
      <c r="I33" s="48" t="s">
        <v>596</v>
      </c>
    </row>
    <row r="34" customFormat="false" ht="12.75" hidden="false" customHeight="false" outlineLevel="0" collapsed="false">
      <c r="A34" s="95" t="str">
        <f aca="false">A33</f>
        <v>Fornecimento de Materiais e Equipamentos (aquisição indireta - em conjunto com licitação de obras)</v>
      </c>
      <c r="B34" s="99" t="s">
        <v>709</v>
      </c>
      <c r="C34" s="95" t="str">
        <f aca="false">CONCATENATE(A34,"-",B34)</f>
        <v>Fornecimento de Materiais e Equipamentos (aquisição indireta - em conjunto com licitação de obras)-R</v>
      </c>
      <c r="E34" s="100" t="n">
        <v>0.0056</v>
      </c>
      <c r="F34" s="100" t="n">
        <v>0.0085</v>
      </c>
      <c r="G34" s="100" t="n">
        <v>0.0089</v>
      </c>
      <c r="I34" s="48" t="s">
        <v>596</v>
      </c>
      <c r="J34" s="130" t="s">
        <v>745</v>
      </c>
      <c r="K34" s="130"/>
      <c r="L34" s="130"/>
      <c r="M34" s="130"/>
      <c r="N34" s="130"/>
      <c r="O34" s="130"/>
      <c r="P34" s="130"/>
      <c r="Q34" s="130"/>
      <c r="R34" s="130"/>
      <c r="S34" s="130"/>
    </row>
    <row r="35" customFormat="false" ht="15" hidden="false" customHeight="false" outlineLevel="0" collapsed="false">
      <c r="A35" s="95" t="str">
        <f aca="false">A34</f>
        <v>Fornecimento de Materiais e Equipamentos (aquisição indireta - em conjunto com licitação de obras)</v>
      </c>
      <c r="B35" s="99" t="s">
        <v>713</v>
      </c>
      <c r="C35" s="95" t="str">
        <f aca="false">CONCATENATE(A35,"-",B35)</f>
        <v>Fornecimento de Materiais e Equipamentos (aquisição indireta - em conjunto com licitação de obras)-DF</v>
      </c>
      <c r="E35" s="100" t="n">
        <v>0.0085</v>
      </c>
      <c r="F35" s="100" t="n">
        <v>0.0085</v>
      </c>
      <c r="G35" s="100" t="n">
        <v>0.0111</v>
      </c>
      <c r="I35" s="48" t="s">
        <v>596</v>
      </c>
      <c r="J35" s="131"/>
      <c r="K35" s="131"/>
      <c r="L35" s="131"/>
      <c r="M35" s="132" t="s">
        <v>746</v>
      </c>
      <c r="N35" s="133" t="str">
        <f aca="false">IF($J17=$A$146,"(1+K1+K2)*(1+K3)","(1+AC + S + R + G)*(1 + DF)*(1+L)")</f>
        <v>(1+AC + S + R + G)*(1 + DF)*(1+L)</v>
      </c>
      <c r="O35" s="133"/>
      <c r="P35" s="133"/>
      <c r="Q35" s="134" t="s">
        <v>747</v>
      </c>
      <c r="R35" s="131"/>
      <c r="S35" s="131"/>
    </row>
    <row r="36" customFormat="false" ht="15" hidden="false" customHeight="false" outlineLevel="0" collapsed="false">
      <c r="A36" s="95" t="str">
        <f aca="false">A35</f>
        <v>Fornecimento de Materiais e Equipamentos (aquisição indireta - em conjunto com licitação de obras)</v>
      </c>
      <c r="B36" s="99" t="s">
        <v>714</v>
      </c>
      <c r="C36" s="95" t="str">
        <f aca="false">CONCATENATE(A36,"-",B36)</f>
        <v>Fornecimento de Materiais e Equipamentos (aquisição indireta - em conjunto com licitação de obras)-L</v>
      </c>
      <c r="E36" s="100" t="n">
        <v>0.035</v>
      </c>
      <c r="F36" s="100" t="n">
        <v>0.0511</v>
      </c>
      <c r="G36" s="100" t="n">
        <v>0.0622</v>
      </c>
      <c r="I36" s="48" t="s">
        <v>596</v>
      </c>
      <c r="J36" s="131"/>
      <c r="K36" s="131"/>
      <c r="L36" s="131"/>
      <c r="M36" s="132"/>
      <c r="N36" s="135" t="s">
        <v>748</v>
      </c>
      <c r="O36" s="135"/>
      <c r="P36" s="135"/>
      <c r="Q36" s="134"/>
      <c r="R36" s="131"/>
      <c r="S36" s="131"/>
    </row>
    <row r="37" customFormat="false" ht="15" hidden="false" customHeight="true" outlineLevel="0" collapsed="false">
      <c r="A37" s="95" t="str">
        <f aca="false">A36</f>
        <v>Fornecimento de Materiais e Equipamentos (aquisição indireta - em conjunto com licitação de obras)</v>
      </c>
      <c r="B37" s="105" t="s">
        <v>716</v>
      </c>
      <c r="C37" s="95" t="str">
        <f aca="false">CONCATENATE(A37,"-",B37)</f>
        <v>Fornecimento de Materiais e Equipamentos (aquisição indireta - em conjunto com licitação de obras)-BDI PAD</v>
      </c>
      <c r="E37" s="100" t="n">
        <v>0.111</v>
      </c>
      <c r="F37" s="100" t="n">
        <v>0.1402</v>
      </c>
      <c r="G37" s="100" t="n">
        <v>0.168</v>
      </c>
      <c r="I37" s="48" t="s">
        <v>596</v>
      </c>
      <c r="J37" s="136"/>
      <c r="K37" s="136"/>
      <c r="L37" s="136"/>
      <c r="M37" s="136"/>
      <c r="N37" s="136"/>
      <c r="O37" s="136"/>
      <c r="P37" s="136"/>
      <c r="Q37" s="136"/>
      <c r="R37" s="136"/>
      <c r="S37" s="136"/>
    </row>
    <row r="38" customFormat="false" ht="49.5" hidden="false" customHeight="true" outlineLevel="0" collapsed="false">
      <c r="A38" s="95" t="s">
        <v>749</v>
      </c>
      <c r="B38" s="105" t="s">
        <v>706</v>
      </c>
      <c r="C38" s="95" t="str">
        <f aca="false">CONCATENATE(A38,"-",B38)</f>
        <v>Fornecimento de Materiais e Equipamentos (aquisição direta)-AC</v>
      </c>
      <c r="E38" s="100" t="s">
        <v>750</v>
      </c>
      <c r="F38" s="100" t="s">
        <v>750</v>
      </c>
      <c r="G38" s="100" t="s">
        <v>750</v>
      </c>
      <c r="I38" s="0" t="s">
        <v>596</v>
      </c>
      <c r="J38" s="137" t="str">
        <f aca="false">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2%.</v>
      </c>
      <c r="K38" s="137"/>
      <c r="L38" s="137"/>
      <c r="M38" s="137"/>
      <c r="N38" s="137"/>
      <c r="O38" s="137"/>
      <c r="P38" s="137"/>
      <c r="Q38" s="137"/>
      <c r="R38" s="137"/>
      <c r="S38" s="137"/>
    </row>
    <row r="39" customFormat="false" ht="12.75" hidden="false" customHeight="false" outlineLevel="0" collapsed="false">
      <c r="A39" s="95" t="s">
        <v>749</v>
      </c>
      <c r="B39" s="105" t="s">
        <v>708</v>
      </c>
      <c r="C39" s="95" t="str">
        <f aca="false">CONCATENATE(A39,"-",B39)</f>
        <v>Fornecimento de Materiais e Equipamentos (aquisição direta)-SG</v>
      </c>
      <c r="E39" s="100" t="s">
        <v>750</v>
      </c>
      <c r="F39" s="100" t="s">
        <v>750</v>
      </c>
      <c r="G39" s="100" t="s">
        <v>750</v>
      </c>
      <c r="I39" s="0" t="s">
        <v>596</v>
      </c>
    </row>
    <row r="40" customFormat="false" ht="49.5" hidden="false" customHeight="true" outlineLevel="0" collapsed="false">
      <c r="A40" s="95" t="s">
        <v>749</v>
      </c>
      <c r="B40" s="105" t="s">
        <v>709</v>
      </c>
      <c r="C40" s="95" t="str">
        <f aca="false">CONCATENATE(A40,"-",B40)</f>
        <v>Fornecimento de Materiais e Equipamentos (aquisição direta)-R</v>
      </c>
      <c r="E40" s="100" t="s">
        <v>750</v>
      </c>
      <c r="F40" s="100" t="s">
        <v>750</v>
      </c>
      <c r="G40" s="100" t="s">
        <v>750</v>
      </c>
      <c r="I40" s="0" t="s">
        <v>596</v>
      </c>
      <c r="J40" s="137" t="str">
        <f aca="true" t="array" ref="J40:J40">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COM Desoneração, e que esta é a alternativa mais adequada para a Administração Pública.</v>
      </c>
      <c r="K40" s="137"/>
      <c r="L40" s="137"/>
      <c r="M40" s="137"/>
      <c r="N40" s="137"/>
      <c r="O40" s="137"/>
      <c r="P40" s="137"/>
      <c r="Q40" s="137"/>
      <c r="R40" s="137"/>
      <c r="S40" s="137"/>
    </row>
    <row r="41" customFormat="false" ht="12.75" hidden="false" customHeight="false" outlineLevel="0" collapsed="false">
      <c r="A41" s="95" t="s">
        <v>749</v>
      </c>
      <c r="B41" s="105" t="s">
        <v>713</v>
      </c>
      <c r="C41" s="95" t="str">
        <f aca="false">CONCATENATE(A41,"-",B41)</f>
        <v>Fornecimento de Materiais e Equipamentos (aquisição direta)-DF</v>
      </c>
      <c r="E41" s="100" t="s">
        <v>750</v>
      </c>
      <c r="F41" s="100" t="s">
        <v>750</v>
      </c>
      <c r="G41" s="100" t="s">
        <v>750</v>
      </c>
      <c r="I41" s="0" t="s">
        <v>596</v>
      </c>
    </row>
    <row r="42" customFormat="false" ht="12.75" hidden="false" customHeight="false" outlineLevel="0" collapsed="false">
      <c r="A42" s="95" t="s">
        <v>749</v>
      </c>
      <c r="B42" s="105" t="s">
        <v>714</v>
      </c>
      <c r="C42" s="95" t="str">
        <f aca="false">CONCATENATE(A42,"-",B42)</f>
        <v>Fornecimento de Materiais e Equipamentos (aquisição direta)-L</v>
      </c>
      <c r="E42" s="100" t="s">
        <v>750</v>
      </c>
      <c r="F42" s="100" t="s">
        <v>750</v>
      </c>
      <c r="G42" s="100" t="s">
        <v>750</v>
      </c>
      <c r="I42" s="0" t="s">
        <v>596</v>
      </c>
      <c r="J42" s="95" t="s">
        <v>751</v>
      </c>
    </row>
    <row r="43" customFormat="false" ht="99.75" hidden="false" customHeight="true" outlineLevel="0" collapsed="false">
      <c r="A43" s="95" t="s">
        <v>749</v>
      </c>
      <c r="B43" s="105" t="s">
        <v>716</v>
      </c>
      <c r="C43" s="95" t="str">
        <f aca="false">CONCATENATE(A43,"-",B43)</f>
        <v>Fornecimento de Materiais e Equipamentos (aquisição direta)-BDI PAD</v>
      </c>
      <c r="E43" s="100" t="s">
        <v>750</v>
      </c>
      <c r="F43" s="100" t="s">
        <v>750</v>
      </c>
      <c r="G43" s="100" t="s">
        <v>750</v>
      </c>
      <c r="I43" s="0" t="s">
        <v>596</v>
      </c>
      <c r="J43" s="138"/>
      <c r="K43" s="138"/>
      <c r="L43" s="138"/>
      <c r="M43" s="138"/>
      <c r="N43" s="138"/>
      <c r="O43" s="138"/>
      <c r="P43" s="138"/>
      <c r="Q43" s="138"/>
      <c r="R43" s="138"/>
      <c r="S43" s="138"/>
    </row>
    <row r="44" customFormat="false" ht="12.75" hidden="false" customHeight="false" outlineLevel="0" collapsed="false">
      <c r="A44" s="95" t="s">
        <v>752</v>
      </c>
      <c r="B44" s="99" t="s">
        <v>753</v>
      </c>
      <c r="C44" s="95" t="str">
        <f aca="false">CONCATENATE(A44,"-",B44)</f>
        <v>Estudos e Projetos, Planos e Gerenciamento e outros correlatos-K1</v>
      </c>
      <c r="E44" s="100" t="s">
        <v>750</v>
      </c>
      <c r="F44" s="100" t="s">
        <v>750</v>
      </c>
      <c r="G44" s="100" t="s">
        <v>750</v>
      </c>
      <c r="I44" s="0" t="s">
        <v>596</v>
      </c>
    </row>
    <row r="45" customFormat="false" ht="12.75" hidden="false" customHeight="false" outlineLevel="0" collapsed="false">
      <c r="A45" s="95" t="str">
        <f aca="false">A44</f>
        <v>Estudos e Projetos, Planos e Gerenciamento e outros correlatos</v>
      </c>
      <c r="B45" s="99" t="s">
        <v>754</v>
      </c>
      <c r="C45" s="95" t="str">
        <f aca="false">CONCATENATE(A45,"-",B45)</f>
        <v>Estudos e Projetos, Planos e Gerenciamento e outros correlatos-K2</v>
      </c>
      <c r="E45" s="100" t="s">
        <v>750</v>
      </c>
      <c r="F45" s="100" t="n">
        <v>0.2</v>
      </c>
      <c r="G45" s="100" t="s">
        <v>750</v>
      </c>
      <c r="I45" s="0" t="s">
        <v>596</v>
      </c>
      <c r="J45" s="139" t="str">
        <f aca="false">Import.Município</f>
        <v>TRAMANDAI/RS</v>
      </c>
      <c r="K45" s="139"/>
      <c r="L45" s="139"/>
      <c r="M45" s="139"/>
      <c r="P45" s="140" t="n">
        <f aca="false">DADOS!$C$25</f>
        <v>46098</v>
      </c>
      <c r="Q45" s="140"/>
      <c r="R45" s="140"/>
      <c r="S45" s="140"/>
    </row>
    <row r="46" customFormat="false" ht="12.75" hidden="false" customHeight="false" outlineLevel="0" collapsed="false">
      <c r="A46" s="95" t="str">
        <f aca="false">A45</f>
        <v>Estudos e Projetos, Planos e Gerenciamento e outros correlatos</v>
      </c>
      <c r="B46" s="99"/>
      <c r="C46" s="95" t="str">
        <f aca="false">CONCATENATE(A46,"-",B46)</f>
        <v>Estudos e Projetos, Planos e Gerenciamento e outros correlatos-</v>
      </c>
      <c r="E46" s="100" t="s">
        <v>750</v>
      </c>
      <c r="F46" s="100" t="s">
        <v>750</v>
      </c>
      <c r="G46" s="100" t="s">
        <v>750</v>
      </c>
      <c r="I46" s="0" t="s">
        <v>596</v>
      </c>
      <c r="J46" s="141" t="s">
        <v>755</v>
      </c>
      <c r="K46" s="141"/>
      <c r="L46" s="141"/>
      <c r="M46" s="141"/>
      <c r="O46" s="142"/>
      <c r="P46" s="143" t="s">
        <v>756</v>
      </c>
      <c r="Q46" s="144"/>
      <c r="R46" s="144"/>
      <c r="S46" s="144"/>
    </row>
    <row r="47" customFormat="false" ht="30" hidden="false" customHeight="true" outlineLevel="0" collapsed="false">
      <c r="A47" s="95" t="str">
        <f aca="false">A46</f>
        <v>Estudos e Projetos, Planos e Gerenciamento e outros correlatos</v>
      </c>
      <c r="B47" s="99"/>
      <c r="C47" s="95" t="str">
        <f aca="false">CONCATENATE(A47,"-",B47)</f>
        <v>Estudos e Projetos, Planos e Gerenciamento e outros correlatos-</v>
      </c>
      <c r="E47" s="100" t="s">
        <v>750</v>
      </c>
      <c r="F47" s="100" t="s">
        <v>750</v>
      </c>
      <c r="G47" s="100" t="s">
        <v>750</v>
      </c>
      <c r="I47" s="0" t="s">
        <v>596</v>
      </c>
    </row>
    <row r="48" customFormat="false" ht="13.8" hidden="false" customHeight="false" outlineLevel="0" collapsed="false">
      <c r="A48" s="95" t="str">
        <f aca="false">A47</f>
        <v>Estudos e Projetos, Planos e Gerenciamento e outros correlatos</v>
      </c>
      <c r="B48" s="99" t="s">
        <v>757</v>
      </c>
      <c r="C48" s="95" t="str">
        <f aca="false">CONCATENATE(A48,"-",B48)</f>
        <v>Estudos e Projetos, Planos e Gerenciamento e outros correlatos-K3</v>
      </c>
      <c r="E48" s="100" t="s">
        <v>750</v>
      </c>
      <c r="F48" s="100" t="n">
        <v>0.12</v>
      </c>
      <c r="G48" s="100" t="s">
        <v>750</v>
      </c>
      <c r="I48" s="0" t="s">
        <v>596</v>
      </c>
      <c r="J48" s="145"/>
      <c r="K48" s="145"/>
      <c r="L48" s="145"/>
      <c r="M48" s="145"/>
      <c r="N48" s="146"/>
    </row>
    <row r="49" customFormat="false" ht="12.75" hidden="false" customHeight="true" outlineLevel="0" collapsed="false">
      <c r="A49" s="95" t="str">
        <f aca="false">A48</f>
        <v>Estudos e Projetos, Planos e Gerenciamento e outros correlatos</v>
      </c>
      <c r="B49" s="105" t="s">
        <v>716</v>
      </c>
      <c r="C49" s="95" t="str">
        <f aca="false">CONCATENATE(A49,"-",B49)</f>
        <v>Estudos e Projetos, Planos e Gerenciamento e outros correlatos-BDI PAD</v>
      </c>
      <c r="E49" s="100" t="s">
        <v>750</v>
      </c>
      <c r="F49" s="100" t="s">
        <v>750</v>
      </c>
      <c r="G49" s="100" t="s">
        <v>750</v>
      </c>
      <c r="I49" s="0" t="s">
        <v>596</v>
      </c>
      <c r="J49" s="147" t="s">
        <v>758</v>
      </c>
      <c r="K49" s="147"/>
      <c r="L49" s="147"/>
      <c r="M49" s="147"/>
    </row>
    <row r="50" customFormat="false" ht="13.8" hidden="false" customHeight="false" outlineLevel="0" collapsed="false">
      <c r="B50" s="105"/>
      <c r="E50" s="100"/>
      <c r="F50" s="100"/>
      <c r="G50" s="100"/>
      <c r="I50" s="0" t="s">
        <v>596</v>
      </c>
      <c r="J50" s="148" t="s">
        <v>297</v>
      </c>
      <c r="K50" s="149" t="str">
        <f aca="false" t="array" ref="K50:K52">Import.RespOrçamento</f>
        <v>Jaqueline Ferreira / Marcio R. Maciel</v>
      </c>
      <c r="L50" s="150"/>
      <c r="M50" s="150"/>
      <c r="N50" s="146"/>
    </row>
    <row r="51" customFormat="false" ht="13.8" hidden="false" customHeight="false" outlineLevel="0" collapsed="false">
      <c r="I51" s="0" t="s">
        <v>596</v>
      </c>
      <c r="J51" s="148" t="s">
        <v>301</v>
      </c>
      <c r="K51" s="149" t="str">
        <v> CAU A152414-3  / CREA RS236197</v>
      </c>
      <c r="L51" s="150"/>
      <c r="M51" s="150"/>
      <c r="N51" s="146"/>
    </row>
    <row r="52" customFormat="false" ht="13.8" hidden="false" customHeight="false" outlineLevel="0" collapsed="false">
      <c r="I52" s="0" t="s">
        <v>596</v>
      </c>
      <c r="J52" s="148" t="s">
        <v>305</v>
      </c>
      <c r="K52" s="149" t="n">
        <v>0</v>
      </c>
      <c r="L52" s="150"/>
      <c r="M52" s="150"/>
      <c r="N52" s="146"/>
    </row>
    <row r="53" customFormat="false" ht="13.8" hidden="false" customHeight="false" outlineLevel="0" collapsed="false">
      <c r="I53" s="0" t="s">
        <v>596</v>
      </c>
      <c r="J53" s="148"/>
      <c r="K53" s="151"/>
      <c r="L53" s="150"/>
      <c r="M53" s="150"/>
      <c r="N53" s="146"/>
    </row>
    <row r="54" customFormat="false" ht="15" hidden="false" customHeight="false" outlineLevel="0" collapsed="false">
      <c r="I54" s="0" t="str">
        <f aca="false">IF($S$69=0,"","F")</f>
        <v/>
      </c>
      <c r="J54" s="113" t="s">
        <v>759</v>
      </c>
      <c r="K54" s="113"/>
      <c r="L54" s="113"/>
      <c r="M54" s="113"/>
      <c r="N54" s="113"/>
      <c r="O54" s="113"/>
      <c r="P54" s="113"/>
      <c r="Q54" s="113"/>
      <c r="R54" s="113"/>
      <c r="S54" s="113"/>
      <c r="U54" s="51" t="str">
        <f aca="false">IF(COUNTIF(ORÇAMENTO!$V$15:$V$59,BDI_2.Título)=0,"",IF(OR(Import.BDI.Tipo2="(SELECIONAR)",Import.BDI.Tipo2="",U57&lt;&gt;"",AND($J57&lt;&gt;$A$145,OR(S61="",S62="",AND($J57&lt;&gt;$A$146,OR(S63="",S64="")),S65="",S66=""))),"Falta preencher o BDI 2",""))</f>
        <v/>
      </c>
    </row>
    <row r="55" customFormat="false" ht="12.75" hidden="false" customHeight="false" outlineLevel="0" collapsed="false">
      <c r="I55" s="0" t="str">
        <f aca="false">IF($S$69=0,"","F")</f>
        <v/>
      </c>
    </row>
    <row r="56" customFormat="false" ht="12.75" hidden="false" customHeight="false" outlineLevel="0" collapsed="false">
      <c r="I56" s="0" t="str">
        <f aca="false">IF($S$69=0,"","F")</f>
        <v/>
      </c>
      <c r="J56" s="101" t="s">
        <v>724</v>
      </c>
      <c r="K56" s="101"/>
      <c r="L56" s="101"/>
      <c r="M56" s="101"/>
      <c r="N56" s="101"/>
      <c r="O56" s="101"/>
      <c r="P56" s="101"/>
      <c r="Q56" s="101"/>
      <c r="R56" s="101"/>
      <c r="S56" s="101"/>
    </row>
    <row r="57" customFormat="false" ht="13.8" hidden="false" customHeight="false" outlineLevel="0" collapsed="false">
      <c r="I57" s="0" t="str">
        <f aca="false">IF($S$69=0,"","F")</f>
        <v/>
      </c>
      <c r="J57" s="114" t="s">
        <v>140</v>
      </c>
      <c r="K57" s="114"/>
      <c r="L57" s="114"/>
      <c r="M57" s="114"/>
      <c r="N57" s="114"/>
      <c r="O57" s="114"/>
      <c r="P57" s="114"/>
      <c r="Q57" s="114"/>
      <c r="R57" s="114"/>
      <c r="S57" s="114"/>
      <c r="T57" s="66" t="str">
        <f aca="false">IF(U57="","","◄")</f>
        <v/>
      </c>
      <c r="U57" s="62" t="str">
        <f aca="false">IF(AND(OR(S69&gt;0,COUNTIF(ORÇAMENTO!$V$15:$V$59,BDI_2.Título)&gt;0),OR(Import.BDI.Tipo2="(SELECIONAR)",Import.BDI.Tipo2="")),"Selecione o Tipo de obra","")</f>
        <v/>
      </c>
    </row>
    <row r="58" customFormat="false" ht="12.75" hidden="false" customHeight="false" outlineLevel="0" collapsed="false">
      <c r="I58" s="0" t="str">
        <f aca="false">IF($S$69=0,"","F")</f>
        <v/>
      </c>
    </row>
    <row r="59" customFormat="false" ht="12.75" hidden="false" customHeight="true" outlineLevel="0" collapsed="false">
      <c r="I59" s="0" t="str">
        <f aca="false">IF($S$69=0,"","F")</f>
        <v/>
      </c>
      <c r="J59" s="115" t="s">
        <v>725</v>
      </c>
      <c r="K59" s="115"/>
      <c r="L59" s="115"/>
      <c r="M59" s="115"/>
      <c r="N59" s="115"/>
      <c r="O59" s="115"/>
      <c r="P59" s="115"/>
      <c r="Q59" s="115"/>
      <c r="R59" s="115" t="s">
        <v>726</v>
      </c>
      <c r="S59" s="116" t="s">
        <v>727</v>
      </c>
      <c r="U59" s="116" t="s">
        <v>728</v>
      </c>
      <c r="V59" s="116"/>
      <c r="W59" s="116"/>
      <c r="X59" s="117" t="s">
        <v>729</v>
      </c>
      <c r="Y59" s="117" t="s">
        <v>730</v>
      </c>
      <c r="Z59" s="117" t="s">
        <v>731</v>
      </c>
    </row>
    <row r="60" customFormat="false" ht="12.75" hidden="false" customHeight="true" outlineLevel="0" collapsed="false">
      <c r="I60" s="0" t="str">
        <f aca="false">IF($S$69=0,"","F")</f>
        <v/>
      </c>
      <c r="J60" s="115"/>
      <c r="K60" s="115"/>
      <c r="L60" s="115"/>
      <c r="M60" s="115"/>
      <c r="N60" s="115"/>
      <c r="O60" s="115"/>
      <c r="P60" s="115"/>
      <c r="Q60" s="115"/>
      <c r="R60" s="115"/>
      <c r="S60" s="116"/>
      <c r="U60" s="116"/>
      <c r="V60" s="116"/>
      <c r="W60" s="116"/>
      <c r="X60" s="117"/>
      <c r="Y60" s="117"/>
      <c r="Z60" s="117"/>
    </row>
    <row r="61" customFormat="false" ht="15" hidden="false" customHeight="true" outlineLevel="0" collapsed="false">
      <c r="I61" s="0" t="str">
        <f aca="false">IF($S$69=0,"","F")</f>
        <v/>
      </c>
      <c r="J61" s="118" t="str">
        <f aca="false">IF($J$57=$A$146,"Encargos Sociais incidentes sobre a mão de obra","Administração Central")</f>
        <v>Administração Central</v>
      </c>
      <c r="K61" s="118"/>
      <c r="L61" s="118"/>
      <c r="M61" s="118"/>
      <c r="N61" s="118"/>
      <c r="O61" s="118"/>
      <c r="P61" s="118"/>
      <c r="Q61" s="118"/>
      <c r="R61" s="119" t="str">
        <f aca="false">IF($J57=$A$146,"K1","AC")</f>
        <v>AC</v>
      </c>
      <c r="S61" s="120"/>
      <c r="T61" s="121" t="str">
        <f aca="false">IF(AND($U$54&lt;&gt;"",$U$57="",R61&lt;&gt;"",S61=""),"◄","")</f>
        <v/>
      </c>
      <c r="U61" s="122" t="str">
        <f aca="false">IFERROR(IF(T61="◄","FALTA PREENCHER",IF(AND(OR(S61&gt;=X61,X61="-"),OR(S61&lt;=Z61,Z61="-")),"OK","FORA DO INTERVALO")),"-")</f>
        <v>-</v>
      </c>
      <c r="V61" s="122"/>
      <c r="W61" s="122"/>
      <c r="X61" s="123" t="e">
        <f aca="false">VLOOKUP(CONCATENATE(J57,"-",R61),$C$2:$G$136,3,FALSE())</f>
        <v>#N/A</v>
      </c>
      <c r="Y61" s="123" t="e">
        <f aca="false">VLOOKUP(CONCATENATE(J57,"-",R61),$C$2:$G$136,4,FALSE())</f>
        <v>#N/A</v>
      </c>
      <c r="Z61" s="123" t="e">
        <f aca="false">VLOOKUP(CONCATENATE(J57,"-",R61),$C$2:$G$136,5,FALSE())</f>
        <v>#N/A</v>
      </c>
    </row>
    <row r="62" customFormat="false" ht="15" hidden="false" customHeight="true" outlineLevel="0" collapsed="false">
      <c r="I62" s="0" t="str">
        <f aca="false">IF($S$69=0,"","F")</f>
        <v/>
      </c>
      <c r="J62" s="118" t="str">
        <f aca="false">IF($J$57=$A$146,"Administração Central da empresa ou consultoria - overhead","Seguro e Garantia")</f>
        <v>Seguro e Garantia</v>
      </c>
      <c r="K62" s="118"/>
      <c r="L62" s="118"/>
      <c r="M62" s="118"/>
      <c r="N62" s="118"/>
      <c r="O62" s="118"/>
      <c r="P62" s="118"/>
      <c r="Q62" s="118"/>
      <c r="R62" s="119" t="str">
        <f aca="false">IF($J57=$A$146,"K2","SG")</f>
        <v>SG</v>
      </c>
      <c r="S62" s="120"/>
      <c r="T62" s="121" t="str">
        <f aca="false">IF(AND($U$54&lt;&gt;"",$U$57="",R62&lt;&gt;"",S62=""),"◄","")</f>
        <v/>
      </c>
      <c r="U62" s="122" t="str">
        <f aca="false">IFERROR(IF(T62="◄","FALTA PREENCHER",IF(AND(OR(S62&gt;=X62,X62="-"),OR(S62&lt;=Z62,Z62="-")),"OK","FORA DO INTERVALO")),"-")</f>
        <v>-</v>
      </c>
      <c r="V62" s="122"/>
      <c r="W62" s="122"/>
      <c r="X62" s="123" t="e">
        <f aca="false">VLOOKUP(CONCATENATE(J57,"-",R62),$C$2:$G$136,3,FALSE())</f>
        <v>#N/A</v>
      </c>
      <c r="Y62" s="123" t="e">
        <f aca="false">VLOOKUP(CONCATENATE(J57,"-",R62),$C$2:$G$136,4,FALSE())</f>
        <v>#N/A</v>
      </c>
      <c r="Z62" s="123" t="e">
        <f aca="false">VLOOKUP(CONCATENATE(J57,"-",R62),$C$2:$G$136,5,FALSE())</f>
        <v>#N/A</v>
      </c>
    </row>
    <row r="63" customFormat="false" ht="15" hidden="false" customHeight="true" outlineLevel="0" collapsed="false">
      <c r="I63" s="0" t="str">
        <f aca="false">IF($S$69=0,"","F")</f>
        <v/>
      </c>
      <c r="J63" s="118" t="s">
        <v>733</v>
      </c>
      <c r="K63" s="118"/>
      <c r="L63" s="118"/>
      <c r="M63" s="118"/>
      <c r="N63" s="118"/>
      <c r="O63" s="118"/>
      <c r="P63" s="118"/>
      <c r="Q63" s="118"/>
      <c r="R63" s="119" t="str">
        <f aca="false">IF($J57=$A$146,"","R")</f>
        <v>R</v>
      </c>
      <c r="S63" s="120"/>
      <c r="T63" s="121" t="str">
        <f aca="false">IF(AND($U$54&lt;&gt;"",$U$57="",R63&lt;&gt;"",S63=""),"◄","")</f>
        <v/>
      </c>
      <c r="U63" s="122" t="str">
        <f aca="false">IFERROR(IF(T63="◄","FALTA PREENCHER",IF(AND(OR(S63&gt;=X63,X63="-"),OR(S63&lt;=Z63,Z63="-")),"OK","FORA DO INTERVALO")),"-")</f>
        <v>-</v>
      </c>
      <c r="V63" s="122"/>
      <c r="W63" s="122"/>
      <c r="X63" s="123" t="e">
        <f aca="false">VLOOKUP(CONCATENATE(J57,"-",R63),$C$2:$G$136,3,FALSE())</f>
        <v>#N/A</v>
      </c>
      <c r="Y63" s="123" t="e">
        <f aca="false">VLOOKUP(CONCATENATE(J57,"-",R63),$C$2:$G$136,4,FALSE())</f>
        <v>#N/A</v>
      </c>
      <c r="Z63" s="123" t="e">
        <f aca="false">VLOOKUP(CONCATENATE(J57,"-",R63),$C$2:$G$136,5,FALSE())</f>
        <v>#N/A</v>
      </c>
    </row>
    <row r="64" customFormat="false" ht="15" hidden="false" customHeight="true" outlineLevel="0" collapsed="false">
      <c r="I64" s="0" t="str">
        <f aca="false">IF($S$69=0,"","F")</f>
        <v/>
      </c>
      <c r="J64" s="118" t="s">
        <v>734</v>
      </c>
      <c r="K64" s="118"/>
      <c r="L64" s="118"/>
      <c r="M64" s="118"/>
      <c r="N64" s="118"/>
      <c r="O64" s="118"/>
      <c r="P64" s="118"/>
      <c r="Q64" s="118"/>
      <c r="R64" s="119" t="str">
        <f aca="false">IF($J57=$A$146,"","DF")</f>
        <v>DF</v>
      </c>
      <c r="S64" s="120"/>
      <c r="T64" s="121" t="str">
        <f aca="false">IF(AND($U$54&lt;&gt;"",$U$57="",R64&lt;&gt;"",S64=""),"◄","")</f>
        <v/>
      </c>
      <c r="U64" s="122" t="str">
        <f aca="false">IFERROR(IF(T64="◄","FALTA PREENCHER",IF(AND(OR(S64&gt;=X64,X64="-"),OR(S64&lt;=Z64,Z64="-")),"OK","FORA DO INTERVALO")),"-")</f>
        <v>-</v>
      </c>
      <c r="V64" s="122"/>
      <c r="W64" s="122"/>
      <c r="X64" s="123" t="e">
        <f aca="false">VLOOKUP(CONCATENATE(J57,"-",R64),$C$2:$G$136,3,FALSE())</f>
        <v>#N/A</v>
      </c>
      <c r="Y64" s="123" t="e">
        <f aca="false">VLOOKUP(CONCATENATE(J57,"-",R64),$C$2:$G$136,4,FALSE())</f>
        <v>#N/A</v>
      </c>
      <c r="Z64" s="123" t="e">
        <f aca="false">VLOOKUP(CONCATENATE(J57,"-",R64),$C$2:$G$136,5,FALSE())</f>
        <v>#N/A</v>
      </c>
    </row>
    <row r="65" customFormat="false" ht="15" hidden="false" customHeight="true" outlineLevel="0" collapsed="false">
      <c r="I65" s="0" t="str">
        <f aca="false">IF($S$69=0,"","F")</f>
        <v/>
      </c>
      <c r="J65" s="118" t="str">
        <f aca="false">IF($J$57=$A$146,"Margem bruta da empresa de consultoria","Lucro")</f>
        <v>Lucro</v>
      </c>
      <c r="K65" s="118"/>
      <c r="L65" s="118"/>
      <c r="M65" s="118"/>
      <c r="N65" s="118"/>
      <c r="O65" s="118"/>
      <c r="P65" s="118"/>
      <c r="Q65" s="118"/>
      <c r="R65" s="119" t="str">
        <f aca="false">IF($J57=$A$146,"K3","L")</f>
        <v>L</v>
      </c>
      <c r="S65" s="120"/>
      <c r="T65" s="121" t="str">
        <f aca="false">IF(AND($U$54&lt;&gt;"",$U$57="",R65&lt;&gt;"",S65=""),"◄","")</f>
        <v/>
      </c>
      <c r="U65" s="122" t="str">
        <f aca="false">IFERROR(IF(T65="◄","FALTA PREENCHER",IF(AND(OR(S65&gt;=X65,X65="-"),OR(S65&lt;=Z65,Z65="-")),"OK","FORA DO INTERVALO")),"-")</f>
        <v>-</v>
      </c>
      <c r="V65" s="122"/>
      <c r="W65" s="122"/>
      <c r="X65" s="123" t="e">
        <f aca="false">VLOOKUP(CONCATENATE(J57,"-",R65),$C$2:$G$136,3,FALSE())</f>
        <v>#N/A</v>
      </c>
      <c r="Y65" s="123" t="e">
        <f aca="false">VLOOKUP(CONCATENATE(J57,"-",R65),$C$2:$G$136,4,FALSE())</f>
        <v>#N/A</v>
      </c>
      <c r="Z65" s="123" t="e">
        <f aca="false">VLOOKUP(CONCATENATE(J57,"-",R65),$C$2:$G$136,5,FALSE())</f>
        <v>#N/A</v>
      </c>
    </row>
    <row r="66" customFormat="false" ht="15" hidden="false" customHeight="true" outlineLevel="0" collapsed="false">
      <c r="I66" s="0" t="str">
        <f aca="false">IF($S$69=0,"","F")</f>
        <v/>
      </c>
      <c r="J66" s="118" t="s">
        <v>736</v>
      </c>
      <c r="K66" s="118"/>
      <c r="L66" s="118"/>
      <c r="M66" s="118"/>
      <c r="N66" s="118"/>
      <c r="O66" s="118"/>
      <c r="P66" s="118"/>
      <c r="Q66" s="118"/>
      <c r="R66" s="119" t="s">
        <v>516</v>
      </c>
      <c r="S66" s="120"/>
      <c r="T66" s="121" t="str">
        <f aca="false">IF(AND($U$54&lt;&gt;"",$U$57="",R66&lt;&gt;"",S66=""),"◄","")</f>
        <v/>
      </c>
      <c r="U66" s="122" t="str">
        <f aca="false">IFERROR(IF(T66="◄","FALTA PREENCHER",IF(AND(OR(S66&gt;=X66,X66="-"),OR(S66&lt;=Z66,Z66="-")),"OK","FORA DO INTERVALO")),"-")</f>
        <v>FORA DO INTERVALO</v>
      </c>
      <c r="V66" s="122"/>
      <c r="W66" s="122"/>
      <c r="X66" s="123" t="n">
        <f aca="false">Y66</f>
        <v>0.0365</v>
      </c>
      <c r="Y66" s="123" t="n">
        <f aca="false">IF($J57=$A$145,"-",3.65%)</f>
        <v>0.0365</v>
      </c>
      <c r="Z66" s="123" t="n">
        <f aca="false">Y66</f>
        <v>0.0365</v>
      </c>
    </row>
    <row r="67" customFormat="false" ht="15" hidden="false" customHeight="true" outlineLevel="0" collapsed="false">
      <c r="I67" s="0" t="str">
        <f aca="false">IF($S$69=0,"","F")</f>
        <v/>
      </c>
      <c r="J67" s="118" t="s">
        <v>737</v>
      </c>
      <c r="K67" s="118"/>
      <c r="L67" s="118"/>
      <c r="M67" s="118"/>
      <c r="N67" s="118"/>
      <c r="O67" s="118"/>
      <c r="P67" s="118"/>
      <c r="Q67" s="118"/>
      <c r="R67" s="119" t="s">
        <v>738</v>
      </c>
      <c r="S67" s="123" t="n">
        <f aca="true">IF(AND($J57&lt;&gt;$A$145,COUNTA(OFFSET(S60,1,0,6))&gt;0),$R$11*$R$10,0)</f>
        <v>0</v>
      </c>
      <c r="U67" s="122" t="str">
        <f aca="false">IFERROR(IF(T67="◄","FALTA PREENCHER",IF(AND(OR(S67&gt;=X67,X67="-"),OR(S67&lt;=Z67,Z67="-")),"OK","FORA DO INTERVALO")),"-")</f>
        <v>OK</v>
      </c>
      <c r="V67" s="122"/>
      <c r="W67" s="122"/>
      <c r="X67" s="123" t="n">
        <v>0</v>
      </c>
      <c r="Y67" s="123" t="n">
        <v>0.025</v>
      </c>
      <c r="Z67" s="123" t="n">
        <v>0.05</v>
      </c>
    </row>
    <row r="68" customFormat="false" ht="15" hidden="false" customHeight="true" outlineLevel="0" collapsed="false">
      <c r="I68" s="0" t="str">
        <f aca="false">IF($S$69=0,"","F")</f>
        <v/>
      </c>
      <c r="J68" s="118" t="s">
        <v>739</v>
      </c>
      <c r="K68" s="118"/>
      <c r="L68" s="118"/>
      <c r="M68" s="118"/>
      <c r="N68" s="118"/>
      <c r="O68" s="118"/>
      <c r="P68" s="118"/>
      <c r="Q68" s="118"/>
      <c r="R68" s="119" t="s">
        <v>740</v>
      </c>
      <c r="S68" s="123" t="n">
        <f aca="true" t="array" ref="S68:S68">IF(BDI.Opcao&lt;&gt;"Desonerado",0,IF(AND($J57&lt;&gt;$A$145,COUNTA(OFFSET(S60,1,0,6))&gt;0),IF(YEAR(Import.DataBase)&lt;2025,4.5%,IF(YEAR(Import.DataBase)=2025,3.6%,IF(YEAR(Import.DataBase)=2026,2.7%,IF(YEAR(Import.DataBase)=2027,1.8%,0%)))),0%))</f>
        <v>0</v>
      </c>
      <c r="U68" s="122" t="str">
        <f aca="false">IFERROR(IF(T68="◄","FALTA PREENCHER",IF(AND(OR(S68&gt;=X68,X68="-"),OR(S68&lt;=Z68,Z68="-")),"OK","FORA DO INTERVALO")),"-")</f>
        <v>OK</v>
      </c>
      <c r="V68" s="122"/>
      <c r="W68" s="122"/>
      <c r="X68" s="124" t="n">
        <f aca="false">$S68</f>
        <v>0</v>
      </c>
      <c r="Y68" s="124" t="n">
        <f aca="false">$S68</f>
        <v>0</v>
      </c>
      <c r="Z68" s="124" t="n">
        <f aca="false">$S68</f>
        <v>0</v>
      </c>
    </row>
    <row r="69" customFormat="false" ht="15" hidden="false" customHeight="true" outlineLevel="0" collapsed="false">
      <c r="I69" s="0" t="str">
        <f aca="false">IF($S$69=0,"","F")</f>
        <v/>
      </c>
      <c r="J69" s="118" t="s">
        <v>741</v>
      </c>
      <c r="K69" s="118"/>
      <c r="L69" s="118"/>
      <c r="M69" s="118"/>
      <c r="N69" s="118"/>
      <c r="O69" s="118"/>
      <c r="P69" s="118"/>
      <c r="Q69" s="118"/>
      <c r="R69" s="125" t="s">
        <v>716</v>
      </c>
      <c r="S69" s="123" t="n">
        <f aca="false">IF($J57=$A$145,0,ROUND((((1+S61+S62+S63)*(1+S64)*(1+S65)/(1-(S66+S67)))-1),4))</f>
        <v>0</v>
      </c>
      <c r="U69" s="116" t="str">
        <f aca="false">IFERROR(IF(AND(OR(S69&gt;=X69,X69="-"),OR(S69&lt;=Z69,Z69="-")),"OK","FORA DO INTERVALO"),IF(S69=0,"OK","Selecione o Tipo de obra"))</f>
        <v>OK</v>
      </c>
      <c r="V69" s="116"/>
      <c r="W69" s="116"/>
      <c r="X69" s="123" t="e">
        <f aca="false">IF($J57=$A$145,0,VLOOKUP(CONCATENATE($J57,"-",$R69),$C$2:$G$136,3,FALSE()))</f>
        <v>#N/A</v>
      </c>
      <c r="Y69" s="123" t="e">
        <f aca="false">IF($J57=$A$145,0,VLOOKUP(CONCATENATE($J57,"-",$R69),$C$2:$G$136,4,FALSE()))</f>
        <v>#N/A</v>
      </c>
      <c r="Z69" s="123" t="e">
        <f aca="false">IF($J57=$A$145,0,VLOOKUP(CONCATENATE($J57,"-",$R69),$C$2:$G$136,5,FALSE()))</f>
        <v>#N/A</v>
      </c>
    </row>
    <row r="70" customFormat="false" ht="15" hidden="false" customHeight="true" outlineLevel="0" collapsed="false">
      <c r="I70" s="0" t="str">
        <f aca="false">IF($S$69=0,"","F")</f>
        <v/>
      </c>
      <c r="J70" s="126" t="s">
        <v>742</v>
      </c>
      <c r="K70" s="126"/>
      <c r="L70" s="126"/>
      <c r="M70" s="126"/>
      <c r="N70" s="126"/>
      <c r="O70" s="126"/>
      <c r="P70" s="126"/>
      <c r="Q70" s="126"/>
      <c r="R70" s="126" t="s">
        <v>743</v>
      </c>
      <c r="S70" s="127" t="n">
        <f aca="false">IF($J57=$A$145,0,ROUND((((1+S61+S62+S63)*(1+S64)*(1+S65)/(1-(S66+S67+S68)))-1),4))</f>
        <v>0</v>
      </c>
    </row>
    <row r="71" customFormat="false" ht="15" hidden="false" customHeight="true" outlineLevel="0" collapsed="false">
      <c r="I71" s="0" t="str">
        <f aca="false">IF($S$69=0,"","F")</f>
        <v/>
      </c>
    </row>
    <row r="72" customFormat="false" ht="15" hidden="false" customHeight="false" outlineLevel="0" collapsed="false">
      <c r="I72" s="0" t="str">
        <f aca="false">IF($S$69=0,"","F")</f>
        <v/>
      </c>
      <c r="J72" s="128" t="str">
        <f aca="false">IF(U69&lt;&gt;"ok","X","")</f>
        <v/>
      </c>
      <c r="K72" s="129" t="str">
        <f aca="false">IF(U69&lt;&gt;"ok","Anexo: Relatório Técnico Circunstanciado justificando a adoção do percentual de cada parcela do BDI.","")</f>
        <v/>
      </c>
      <c r="L72" s="129"/>
      <c r="M72" s="129"/>
      <c r="N72" s="129"/>
      <c r="O72" s="129"/>
      <c r="P72" s="129"/>
      <c r="Q72" s="129"/>
      <c r="R72" s="129"/>
      <c r="S72" s="129"/>
    </row>
    <row r="73" customFormat="false" ht="12.75" hidden="false" customHeight="false" outlineLevel="0" collapsed="false">
      <c r="I73" s="0" t="str">
        <f aca="false">IF($S$69=0,"","F")</f>
        <v/>
      </c>
    </row>
    <row r="74" customFormat="false" ht="12.75" hidden="false" customHeight="false" outlineLevel="0" collapsed="false">
      <c r="I74" s="0" t="str">
        <f aca="false">IF($S$69=0,"","F")</f>
        <v/>
      </c>
      <c r="J74" s="130" t="s">
        <v>745</v>
      </c>
      <c r="K74" s="130"/>
      <c r="L74" s="130"/>
      <c r="M74" s="130"/>
      <c r="N74" s="130"/>
      <c r="O74" s="130"/>
      <c r="P74" s="130"/>
      <c r="Q74" s="130"/>
      <c r="R74" s="130"/>
      <c r="S74" s="130"/>
    </row>
    <row r="75" customFormat="false" ht="15" hidden="false" customHeight="false" outlineLevel="0" collapsed="false">
      <c r="I75" s="0" t="str">
        <f aca="false">IF($S$69=0,"","F")</f>
        <v/>
      </c>
      <c r="J75" s="131"/>
      <c r="K75" s="131"/>
      <c r="L75" s="131"/>
      <c r="M75" s="132" t="s">
        <v>746</v>
      </c>
      <c r="N75" s="133" t="str">
        <f aca="false">IF($J57=$A$146,"(1+K1+K2)*(1+K3)","(1+AC + S + R + G)*(1 + DF)*(1+L)")</f>
        <v>(1+AC + S + R + G)*(1 + DF)*(1+L)</v>
      </c>
      <c r="O75" s="133"/>
      <c r="P75" s="133"/>
      <c r="Q75" s="134" t="s">
        <v>747</v>
      </c>
      <c r="R75" s="131"/>
      <c r="S75" s="131"/>
    </row>
    <row r="76" customFormat="false" ht="15" hidden="false" customHeight="false" outlineLevel="0" collapsed="false">
      <c r="I76" s="0" t="str">
        <f aca="false">IF($S$69=0,"","F")</f>
        <v/>
      </c>
      <c r="J76" s="131"/>
      <c r="K76" s="131"/>
      <c r="L76" s="131"/>
      <c r="M76" s="132"/>
      <c r="N76" s="135" t="s">
        <v>748</v>
      </c>
      <c r="O76" s="135"/>
      <c r="P76" s="135"/>
      <c r="Q76" s="134"/>
      <c r="R76" s="131"/>
      <c r="S76" s="131"/>
    </row>
    <row r="77" customFormat="false" ht="15" hidden="false" customHeight="true" outlineLevel="0" collapsed="false">
      <c r="I77" s="0" t="str">
        <f aca="false">IF($S$69=0,"","F")</f>
        <v/>
      </c>
      <c r="J77" s="131"/>
      <c r="K77" s="131"/>
      <c r="L77" s="131"/>
      <c r="M77" s="152"/>
      <c r="N77" s="153"/>
      <c r="O77" s="153"/>
      <c r="P77" s="153"/>
      <c r="Q77" s="154"/>
      <c r="R77" s="131"/>
      <c r="S77" s="131"/>
    </row>
    <row r="78" customFormat="false" ht="49.5" hidden="false" customHeight="true" outlineLevel="0" collapsed="false">
      <c r="I78" s="0" t="str">
        <f aca="false">IF($S$69=0,"","F")</f>
        <v/>
      </c>
      <c r="J78" s="137" t="str">
        <f aca="false">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2%.</v>
      </c>
      <c r="K78" s="137"/>
      <c r="L78" s="137"/>
      <c r="M78" s="137"/>
      <c r="N78" s="137"/>
      <c r="O78" s="137"/>
      <c r="P78" s="137"/>
      <c r="Q78" s="137"/>
      <c r="R78" s="137"/>
      <c r="S78" s="137"/>
    </row>
    <row r="79" customFormat="false" ht="12.75" hidden="false" customHeight="false" outlineLevel="0" collapsed="false">
      <c r="I79" s="0" t="str">
        <f aca="false">IF($S$69=0,"","F")</f>
        <v/>
      </c>
    </row>
    <row r="80" customFormat="false" ht="49.5" hidden="false" customHeight="true" outlineLevel="0" collapsed="false">
      <c r="I80" s="0" t="str">
        <f aca="false">IF($S$69=0,"","F")</f>
        <v/>
      </c>
      <c r="J80" s="137" t="str">
        <f aca="true" t="array" ref="J80:J80">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COM Desoneração, e que esta é a alternativa mais adequada para a Administração Pública.</v>
      </c>
      <c r="K80" s="137"/>
      <c r="L80" s="137"/>
      <c r="M80" s="137"/>
      <c r="N80" s="137"/>
      <c r="O80" s="137"/>
      <c r="P80" s="137"/>
      <c r="Q80" s="137"/>
      <c r="R80" s="137"/>
      <c r="S80" s="137"/>
    </row>
    <row r="81" customFormat="false" ht="12.75" hidden="false" customHeight="false" outlineLevel="0" collapsed="false">
      <c r="I81" s="0" t="str">
        <f aca="false">IF($S$69=0,"","F")</f>
        <v/>
      </c>
    </row>
    <row r="82" customFormat="false" ht="12.75" hidden="false" customHeight="false" outlineLevel="0" collapsed="false">
      <c r="I82" s="0" t="str">
        <f aca="false">IF($S$69=0,"","F")</f>
        <v/>
      </c>
      <c r="J82" s="95" t="s">
        <v>751</v>
      </c>
    </row>
    <row r="83" customFormat="false" ht="99.75" hidden="false" customHeight="true" outlineLevel="0" collapsed="false">
      <c r="I83" s="0" t="str">
        <f aca="false">IF($S$69=0,"","F")</f>
        <v/>
      </c>
      <c r="J83" s="138"/>
      <c r="K83" s="138"/>
      <c r="L83" s="138"/>
      <c r="M83" s="138"/>
      <c r="N83" s="138"/>
      <c r="O83" s="138"/>
      <c r="P83" s="138"/>
      <c r="Q83" s="138"/>
      <c r="R83" s="138"/>
      <c r="S83" s="138"/>
    </row>
    <row r="84" customFormat="false" ht="12.75" hidden="false" customHeight="false" outlineLevel="0" collapsed="false">
      <c r="I84" s="0" t="str">
        <f aca="false">IF($S$69=0,"","F")</f>
        <v/>
      </c>
    </row>
    <row r="85" customFormat="false" ht="12.75" hidden="false" customHeight="false" outlineLevel="0" collapsed="false">
      <c r="I85" s="0" t="str">
        <f aca="false">IF($S$69=0,"","F")</f>
        <v/>
      </c>
      <c r="J85" s="139" t="str">
        <f aca="false">Import.Município</f>
        <v>TRAMANDAI/RS</v>
      </c>
      <c r="K85" s="139"/>
      <c r="L85" s="139"/>
      <c r="M85" s="139"/>
      <c r="P85" s="140" t="n">
        <f aca="false">DADOS!$C$25</f>
        <v>46098</v>
      </c>
      <c r="Q85" s="140"/>
      <c r="R85" s="140"/>
      <c r="S85" s="140"/>
    </row>
    <row r="86" customFormat="false" ht="12.75" hidden="false" customHeight="false" outlineLevel="0" collapsed="false">
      <c r="I86" s="0" t="str">
        <f aca="false">IF($S$69=0,"","F")</f>
        <v/>
      </c>
      <c r="J86" s="141" t="s">
        <v>755</v>
      </c>
      <c r="K86" s="141"/>
      <c r="L86" s="141"/>
      <c r="M86" s="141"/>
      <c r="O86" s="142"/>
      <c r="P86" s="143" t="s">
        <v>756</v>
      </c>
      <c r="Q86" s="144"/>
      <c r="R86" s="144"/>
      <c r="S86" s="144"/>
    </row>
    <row r="87" customFormat="false" ht="30" hidden="false" customHeight="true" outlineLevel="0" collapsed="false">
      <c r="I87" s="0" t="str">
        <f aca="false">IF($S$69=0,"","F")</f>
        <v/>
      </c>
    </row>
    <row r="88" customFormat="false" ht="13.8" hidden="false" customHeight="false" outlineLevel="0" collapsed="false">
      <c r="I88" s="0" t="str">
        <f aca="false">IF($S$69=0,"","F")</f>
        <v/>
      </c>
      <c r="J88" s="145"/>
      <c r="K88" s="145"/>
      <c r="L88" s="145"/>
      <c r="M88" s="145"/>
      <c r="N88" s="146"/>
    </row>
    <row r="89" customFormat="false" ht="12.75" hidden="false" customHeight="false" outlineLevel="0" collapsed="false">
      <c r="I89" s="0" t="str">
        <f aca="false">IF($S$69=0,"","F")</f>
        <v/>
      </c>
      <c r="J89" s="147" t="s">
        <v>758</v>
      </c>
      <c r="K89" s="147"/>
      <c r="L89" s="147"/>
      <c r="M89" s="147"/>
    </row>
    <row r="90" customFormat="false" ht="13.8" hidden="false" customHeight="false" outlineLevel="0" collapsed="false">
      <c r="I90" s="0" t="str">
        <f aca="false">IF($S$69=0,"","F")</f>
        <v/>
      </c>
      <c r="J90" s="148" t="s">
        <v>297</v>
      </c>
      <c r="K90" s="149" t="str">
        <f aca="false" t="array" ref="K90:K92">Import.RespOrçamento</f>
        <v>Jaqueline Ferreira / Marcio R. Maciel</v>
      </c>
      <c r="L90" s="150"/>
      <c r="M90" s="150"/>
      <c r="N90" s="146"/>
    </row>
    <row r="91" customFormat="false" ht="13.8" hidden="false" customHeight="false" outlineLevel="0" collapsed="false">
      <c r="I91" s="0" t="str">
        <f aca="false">IF($S$69=0,"","F")</f>
        <v/>
      </c>
      <c r="J91" s="148" t="s">
        <v>301</v>
      </c>
      <c r="K91" s="149" t="str">
        <v> CAU A152414-3  / CREA RS236197</v>
      </c>
      <c r="L91" s="150"/>
      <c r="M91" s="150"/>
      <c r="N91" s="146"/>
    </row>
    <row r="92" customFormat="false" ht="13.8" hidden="false" customHeight="false" outlineLevel="0" collapsed="false">
      <c r="I92" s="0" t="str">
        <f aca="false">IF($S$69=0,"","F")</f>
        <v/>
      </c>
      <c r="J92" s="148" t="s">
        <v>305</v>
      </c>
      <c r="K92" s="149" t="n">
        <v>0</v>
      </c>
      <c r="L92" s="150"/>
      <c r="M92" s="150"/>
      <c r="N92" s="146"/>
    </row>
    <row r="93" customFormat="false" ht="13.8" hidden="false" customHeight="false" outlineLevel="0" collapsed="false">
      <c r="I93" s="0" t="str">
        <f aca="false">IF($S$69=0,"","F")</f>
        <v/>
      </c>
      <c r="J93" s="148"/>
      <c r="K93" s="151"/>
      <c r="L93" s="150"/>
      <c r="M93" s="150"/>
      <c r="N93" s="146"/>
    </row>
    <row r="94" customFormat="false" ht="15" hidden="false" customHeight="false" outlineLevel="0" collapsed="false">
      <c r="I94" s="0" t="str">
        <f aca="false">IF($S$109=0,"","F")</f>
        <v/>
      </c>
      <c r="J94" s="113" t="s">
        <v>760</v>
      </c>
      <c r="K94" s="113"/>
      <c r="L94" s="113"/>
      <c r="M94" s="113"/>
      <c r="N94" s="113"/>
      <c r="O94" s="113"/>
      <c r="P94" s="113"/>
      <c r="Q94" s="113"/>
      <c r="R94" s="113"/>
      <c r="S94" s="113"/>
      <c r="U94" s="51" t="str">
        <f aca="false">IF(COUNTIF(ORÇAMENTO!$V$15:$V$59,BDI_3.Título)=0,"",IF(OR(Import.BDI.Tipo3="(SELECIONAR)",Import.BDI.Tipo3="",U97&lt;&gt;"",AND($J97&lt;&gt;$A$145,OR(S101="",S102="",AND($J97&lt;&gt;$A$146,OR(S103="",S104="")),S105="",S106=""))),"Falta preencher o BDI 3",""))</f>
        <v/>
      </c>
    </row>
    <row r="95" customFormat="false" ht="12.75" hidden="false" customHeight="false" outlineLevel="0" collapsed="false">
      <c r="I95" s="0" t="str">
        <f aca="false">IF($S$109=0,"","F")</f>
        <v/>
      </c>
    </row>
    <row r="96" customFormat="false" ht="12.75" hidden="false" customHeight="false" outlineLevel="0" collapsed="false">
      <c r="I96" s="0" t="str">
        <f aca="false">IF($S$109=0,"","F")</f>
        <v/>
      </c>
      <c r="J96" s="101" t="s">
        <v>724</v>
      </c>
      <c r="K96" s="101"/>
      <c r="L96" s="101"/>
      <c r="M96" s="101"/>
      <c r="N96" s="101"/>
      <c r="O96" s="101"/>
      <c r="P96" s="101"/>
      <c r="Q96" s="101"/>
      <c r="R96" s="101"/>
      <c r="S96" s="101"/>
    </row>
    <row r="97" customFormat="false" ht="13.8" hidden="false" customHeight="false" outlineLevel="0" collapsed="false">
      <c r="I97" s="0" t="str">
        <f aca="false">IF($S$109=0,"","F")</f>
        <v/>
      </c>
      <c r="J97" s="114" t="s">
        <v>140</v>
      </c>
      <c r="K97" s="114"/>
      <c r="L97" s="114"/>
      <c r="M97" s="114"/>
      <c r="N97" s="114"/>
      <c r="O97" s="114"/>
      <c r="P97" s="114"/>
      <c r="Q97" s="114"/>
      <c r="R97" s="114"/>
      <c r="S97" s="114"/>
      <c r="T97" s="66" t="str">
        <f aca="false">IF(U97="","","◄")</f>
        <v/>
      </c>
      <c r="U97" s="62" t="str">
        <f aca="false">IF(AND(OR(S109&gt;0,COUNTIF(ORÇAMENTO!$V$15:$V$59,BDI_3.Título)&gt;0),OR(Import.BDI.Tipo3="(SELECIONAR)",Import.BDI.Tipo3="")),"Selecione o Tipo de obra","")</f>
        <v/>
      </c>
    </row>
    <row r="98" customFormat="false" ht="12.75" hidden="false" customHeight="false" outlineLevel="0" collapsed="false">
      <c r="I98" s="0" t="str">
        <f aca="false">IF($S$109=0,"","F")</f>
        <v/>
      </c>
    </row>
    <row r="99" customFormat="false" ht="12.75" hidden="false" customHeight="true" outlineLevel="0" collapsed="false">
      <c r="I99" s="0" t="str">
        <f aca="false">IF($S$109=0,"","F")</f>
        <v/>
      </c>
      <c r="J99" s="115" t="s">
        <v>725</v>
      </c>
      <c r="K99" s="115"/>
      <c r="L99" s="115"/>
      <c r="M99" s="115"/>
      <c r="N99" s="115"/>
      <c r="O99" s="115"/>
      <c r="P99" s="115"/>
      <c r="Q99" s="115"/>
      <c r="R99" s="115" t="s">
        <v>726</v>
      </c>
      <c r="S99" s="116" t="s">
        <v>727</v>
      </c>
      <c r="U99" s="116" t="s">
        <v>728</v>
      </c>
      <c r="V99" s="116"/>
      <c r="W99" s="116"/>
      <c r="X99" s="117" t="s">
        <v>729</v>
      </c>
      <c r="Y99" s="117" t="s">
        <v>730</v>
      </c>
      <c r="Z99" s="117" t="s">
        <v>731</v>
      </c>
    </row>
    <row r="100" customFormat="false" ht="12.75" hidden="false" customHeight="true" outlineLevel="0" collapsed="false">
      <c r="I100" s="0" t="str">
        <f aca="false">IF($S$109=0,"","F")</f>
        <v/>
      </c>
      <c r="J100" s="115"/>
      <c r="K100" s="115"/>
      <c r="L100" s="115"/>
      <c r="M100" s="115"/>
      <c r="N100" s="115"/>
      <c r="O100" s="115"/>
      <c r="P100" s="115"/>
      <c r="Q100" s="115"/>
      <c r="R100" s="115"/>
      <c r="S100" s="116"/>
      <c r="U100" s="116"/>
      <c r="V100" s="116"/>
      <c r="W100" s="116"/>
      <c r="X100" s="117"/>
      <c r="Y100" s="117"/>
      <c r="Z100" s="117"/>
    </row>
    <row r="101" customFormat="false" ht="15" hidden="false" customHeight="true" outlineLevel="0" collapsed="false">
      <c r="I101" s="0" t="str">
        <f aca="false">IF($S$109=0,"","F")</f>
        <v/>
      </c>
      <c r="J101" s="118" t="str">
        <f aca="false">IF($J$97=$A$146,"Encargos Sociais incidentes sobre a mão de obra","Administração Central")</f>
        <v>Administração Central</v>
      </c>
      <c r="K101" s="118"/>
      <c r="L101" s="118"/>
      <c r="M101" s="118"/>
      <c r="N101" s="118"/>
      <c r="O101" s="118"/>
      <c r="P101" s="118"/>
      <c r="Q101" s="118"/>
      <c r="R101" s="119" t="str">
        <f aca="false">IF($J97=$A$146,"K1","AC")</f>
        <v>AC</v>
      </c>
      <c r="S101" s="120"/>
      <c r="T101" s="121" t="str">
        <f aca="false">IF(AND($U$94&lt;&gt;"",$U$97="",R101&lt;&gt;"",S101=""),"◄","")</f>
        <v/>
      </c>
      <c r="U101" s="122" t="str">
        <f aca="false">IFERROR(IF(T101="◄","FALTA PREENCHER",IF(AND(OR(S101&gt;=X101,X101="-"),OR(S101&lt;=Z101,Z101="-")),"OK","FORA DO INTERVALO")),"-")</f>
        <v>-</v>
      </c>
      <c r="V101" s="122"/>
      <c r="W101" s="122"/>
      <c r="X101" s="123" t="e">
        <f aca="false">VLOOKUP(CONCATENATE(J97,"-",R101),$C$2:$G$136,3,FALSE())</f>
        <v>#N/A</v>
      </c>
      <c r="Y101" s="123" t="e">
        <f aca="false">VLOOKUP(CONCATENATE(J97,"-",R101),$C$2:$G$136,4,FALSE())</f>
        <v>#N/A</v>
      </c>
      <c r="Z101" s="123" t="e">
        <f aca="false">VLOOKUP(CONCATENATE(J97,"-",R101),$C$2:$G$136,5,FALSE())</f>
        <v>#N/A</v>
      </c>
    </row>
    <row r="102" customFormat="false" ht="15" hidden="false" customHeight="true" outlineLevel="0" collapsed="false">
      <c r="I102" s="0" t="str">
        <f aca="false">IF($S$109=0,"","F")</f>
        <v/>
      </c>
      <c r="J102" s="118" t="str">
        <f aca="false">IF($J$97=$A$146,"Administração Central da empresa ou consultoria - overhead","Seguro e Garantia")</f>
        <v>Seguro e Garantia</v>
      </c>
      <c r="K102" s="118"/>
      <c r="L102" s="118"/>
      <c r="M102" s="118"/>
      <c r="N102" s="118"/>
      <c r="O102" s="118"/>
      <c r="P102" s="118"/>
      <c r="Q102" s="118"/>
      <c r="R102" s="119" t="str">
        <f aca="false">IF($J97=$A$146,"K2","SG")</f>
        <v>SG</v>
      </c>
      <c r="S102" s="120"/>
      <c r="T102" s="121" t="str">
        <f aca="false">IF(AND($U$94&lt;&gt;"",$U$97="",R102&lt;&gt;"",S102=""),"◄","")</f>
        <v/>
      </c>
      <c r="U102" s="122" t="str">
        <f aca="false">IFERROR(IF(T102="◄","FALTA PREENCHER",IF(AND(OR(S102&gt;=X102,X102="-"),OR(S102&lt;=Z102,Z102="-")),"OK","FORA DO INTERVALO")),"-")</f>
        <v>-</v>
      </c>
      <c r="V102" s="122"/>
      <c r="W102" s="122"/>
      <c r="X102" s="123" t="e">
        <f aca="false">VLOOKUP(CONCATENATE(J97,"-",R102),$C$2:$G$136,3,FALSE())</f>
        <v>#N/A</v>
      </c>
      <c r="Y102" s="123" t="e">
        <f aca="false">VLOOKUP(CONCATENATE(J97,"-",R102),$C$2:$G$136,4,FALSE())</f>
        <v>#N/A</v>
      </c>
      <c r="Z102" s="123" t="e">
        <f aca="false">VLOOKUP(CONCATENATE(J97,"-",R102),$C$2:$G$136,5,FALSE())</f>
        <v>#N/A</v>
      </c>
    </row>
    <row r="103" customFormat="false" ht="15" hidden="false" customHeight="true" outlineLevel="0" collapsed="false">
      <c r="I103" s="0" t="str">
        <f aca="false">IF($S$109=0,"","F")</f>
        <v/>
      </c>
      <c r="J103" s="118" t="s">
        <v>733</v>
      </c>
      <c r="K103" s="118"/>
      <c r="L103" s="118"/>
      <c r="M103" s="118"/>
      <c r="N103" s="118"/>
      <c r="O103" s="118"/>
      <c r="P103" s="118"/>
      <c r="Q103" s="118"/>
      <c r="R103" s="119" t="str">
        <f aca="false">IF($J97=$A$146,"","R")</f>
        <v>R</v>
      </c>
      <c r="S103" s="120"/>
      <c r="T103" s="121" t="str">
        <f aca="false">IF(AND($U$94&lt;&gt;"",$U$97="",R103&lt;&gt;"",S103=""),"◄","")</f>
        <v/>
      </c>
      <c r="U103" s="122" t="str">
        <f aca="false">IFERROR(IF(T103="◄","FALTA PREENCHER",IF(AND(OR(S103&gt;=X103,X103="-"),OR(S103&lt;=Z103,Z103="-")),"OK","FORA DO INTERVALO")),"-")</f>
        <v>-</v>
      </c>
      <c r="V103" s="122"/>
      <c r="W103" s="122"/>
      <c r="X103" s="123" t="e">
        <f aca="false">VLOOKUP(CONCATENATE(J97,"-",R103),$C$2:$G$136,3,FALSE())</f>
        <v>#N/A</v>
      </c>
      <c r="Y103" s="123" t="e">
        <f aca="false">VLOOKUP(CONCATENATE(J97,"-",R103),$C$2:$G$136,4,FALSE())</f>
        <v>#N/A</v>
      </c>
      <c r="Z103" s="123" t="e">
        <f aca="false">VLOOKUP(CONCATENATE(J97,"-",R103),$C$2:$G$136,5,FALSE())</f>
        <v>#N/A</v>
      </c>
    </row>
    <row r="104" customFormat="false" ht="15" hidden="false" customHeight="true" outlineLevel="0" collapsed="false">
      <c r="I104" s="0" t="str">
        <f aca="false">IF($S$109=0,"","F")</f>
        <v/>
      </c>
      <c r="J104" s="118" t="s">
        <v>734</v>
      </c>
      <c r="K104" s="118"/>
      <c r="L104" s="118"/>
      <c r="M104" s="118"/>
      <c r="N104" s="118"/>
      <c r="O104" s="118"/>
      <c r="P104" s="118"/>
      <c r="Q104" s="118"/>
      <c r="R104" s="119" t="str">
        <f aca="false">IF($J97=$A$146,"","DF")</f>
        <v>DF</v>
      </c>
      <c r="S104" s="120"/>
      <c r="T104" s="121" t="str">
        <f aca="false">IF(AND($U$94&lt;&gt;"",$U$97="",R104&lt;&gt;"",S104=""),"◄","")</f>
        <v/>
      </c>
      <c r="U104" s="122" t="str">
        <f aca="false">IFERROR(IF(T104="◄","FALTA PREENCHER",IF(AND(OR(S104&gt;=X104,X104="-"),OR(S104&lt;=Z104,Z104="-")),"OK","FORA DO INTERVALO")),"-")</f>
        <v>-</v>
      </c>
      <c r="V104" s="122"/>
      <c r="W104" s="122"/>
      <c r="X104" s="123" t="e">
        <f aca="false">VLOOKUP(CONCATENATE(J97,"-",R104),$C$2:$G$136,3,FALSE())</f>
        <v>#N/A</v>
      </c>
      <c r="Y104" s="123" t="e">
        <f aca="false">VLOOKUP(CONCATENATE(J97,"-",R104),$C$2:$G$136,4,FALSE())</f>
        <v>#N/A</v>
      </c>
      <c r="Z104" s="123" t="e">
        <f aca="false">VLOOKUP(CONCATENATE(J97,"-",R104),$C$2:$G$136,5,FALSE())</f>
        <v>#N/A</v>
      </c>
    </row>
    <row r="105" customFormat="false" ht="15" hidden="false" customHeight="true" outlineLevel="0" collapsed="false">
      <c r="I105" s="0" t="str">
        <f aca="false">IF($S$109=0,"","F")</f>
        <v/>
      </c>
      <c r="J105" s="118" t="str">
        <f aca="false">IF($J$57=$A$146,"Margem bruta da empresa de consultoria","Lucro")</f>
        <v>Lucro</v>
      </c>
      <c r="K105" s="118"/>
      <c r="L105" s="118"/>
      <c r="M105" s="118"/>
      <c r="N105" s="118"/>
      <c r="O105" s="118"/>
      <c r="P105" s="118"/>
      <c r="Q105" s="118"/>
      <c r="R105" s="119" t="str">
        <f aca="false">IF($J97=$A$146,"K3","L")</f>
        <v>L</v>
      </c>
      <c r="S105" s="120"/>
      <c r="T105" s="121" t="str">
        <f aca="false">IF(AND($U$94&lt;&gt;"",$U$97="",R105&lt;&gt;"",S105=""),"◄","")</f>
        <v/>
      </c>
      <c r="U105" s="122" t="str">
        <f aca="false">IFERROR(IF(T105="◄","FALTA PREENCHER",IF(AND(OR(S105&gt;=X105,X105="-"),OR(S105&lt;=Z105,Z105="-")),"OK","FORA DO INTERVALO")),"-")</f>
        <v>-</v>
      </c>
      <c r="V105" s="122"/>
      <c r="W105" s="122"/>
      <c r="X105" s="123" t="e">
        <f aca="false">VLOOKUP(CONCATENATE(J97,"-",R105),$C$2:$G$136,3,FALSE())</f>
        <v>#N/A</v>
      </c>
      <c r="Y105" s="123" t="e">
        <f aca="false">VLOOKUP(CONCATENATE(J97,"-",R105),$C$2:$G$136,4,FALSE())</f>
        <v>#N/A</v>
      </c>
      <c r="Z105" s="123" t="e">
        <f aca="false">VLOOKUP(CONCATENATE(J97,"-",R105),$C$2:$G$136,5,FALSE())</f>
        <v>#N/A</v>
      </c>
    </row>
    <row r="106" customFormat="false" ht="15" hidden="false" customHeight="true" outlineLevel="0" collapsed="false">
      <c r="I106" s="0" t="str">
        <f aca="false">IF($S$109=0,"","F")</f>
        <v/>
      </c>
      <c r="J106" s="118" t="s">
        <v>736</v>
      </c>
      <c r="K106" s="118"/>
      <c r="L106" s="118"/>
      <c r="M106" s="118"/>
      <c r="N106" s="118"/>
      <c r="O106" s="118"/>
      <c r="P106" s="118"/>
      <c r="Q106" s="118"/>
      <c r="R106" s="119" t="s">
        <v>516</v>
      </c>
      <c r="S106" s="120"/>
      <c r="T106" s="121" t="str">
        <f aca="false">IF(AND($U$94&lt;&gt;"",$U$97="",R106&lt;&gt;"",S106=""),"◄","")</f>
        <v/>
      </c>
      <c r="U106" s="122" t="str">
        <f aca="false">IFERROR(IF(T106="◄","FALTA PREENCHER",IF(AND(OR(S106&gt;=X106,X106="-"),OR(S106&lt;=Z106,Z106="-")),"OK","FORA DO INTERVALO")),"-")</f>
        <v>FORA DO INTERVALO</v>
      </c>
      <c r="V106" s="122"/>
      <c r="W106" s="122"/>
      <c r="X106" s="123" t="n">
        <f aca="false">Y106</f>
        <v>0.0365</v>
      </c>
      <c r="Y106" s="123" t="n">
        <f aca="false">IF($J97=$A$145,"-",3.65%)</f>
        <v>0.0365</v>
      </c>
      <c r="Z106" s="123" t="n">
        <f aca="false">Y106</f>
        <v>0.0365</v>
      </c>
    </row>
    <row r="107" customFormat="false" ht="15" hidden="false" customHeight="true" outlineLevel="0" collapsed="false">
      <c r="I107" s="0" t="str">
        <f aca="false">IF($S$109=0,"","F")</f>
        <v/>
      </c>
      <c r="J107" s="118" t="s">
        <v>737</v>
      </c>
      <c r="K107" s="118"/>
      <c r="L107" s="118"/>
      <c r="M107" s="118"/>
      <c r="N107" s="118"/>
      <c r="O107" s="118"/>
      <c r="P107" s="118"/>
      <c r="Q107" s="118"/>
      <c r="R107" s="119" t="s">
        <v>738</v>
      </c>
      <c r="S107" s="123" t="n">
        <f aca="true">IF(AND($J97&lt;&gt;$A$145,COUNTA(OFFSET(S100,1,0,6))&gt;0),$R$11*$R$10,0)</f>
        <v>0</v>
      </c>
      <c r="U107" s="122" t="str">
        <f aca="false">IFERROR(IF(T107="◄","FALTA PREENCHER",IF(AND(OR(S107&gt;=X107,X107="-"),OR(S107&lt;=Z107,Z107="-")),"OK","FORA DO INTERVALO")),"-")</f>
        <v>OK</v>
      </c>
      <c r="V107" s="122"/>
      <c r="W107" s="122"/>
      <c r="X107" s="123" t="n">
        <v>0</v>
      </c>
      <c r="Y107" s="123" t="n">
        <v>0.025</v>
      </c>
      <c r="Z107" s="123" t="n">
        <v>0.05</v>
      </c>
    </row>
    <row r="108" customFormat="false" ht="15" hidden="false" customHeight="true" outlineLevel="0" collapsed="false">
      <c r="I108" s="0" t="str">
        <f aca="false">IF($S$109=0,"","F")</f>
        <v/>
      </c>
      <c r="J108" s="118" t="s">
        <v>739</v>
      </c>
      <c r="K108" s="118"/>
      <c r="L108" s="118"/>
      <c r="M108" s="118"/>
      <c r="N108" s="118"/>
      <c r="O108" s="118"/>
      <c r="P108" s="118"/>
      <c r="Q108" s="118"/>
      <c r="R108" s="119" t="s">
        <v>740</v>
      </c>
      <c r="S108" s="123" t="n">
        <f aca="true" t="array" ref="S108:S108">IF(BDI.Opcao&lt;&gt;"Desonerado",0,IF(AND($J97&lt;&gt;$A$145,COUNTA(OFFSET(S100,1,0,6))&gt;0),IF(YEAR(Import.DataBase)&lt;2025,4.5%,IF(YEAR(Import.DataBase)=2025,3.6%,IF(YEAR(Import.DataBase)=2026,2.7%,IF(YEAR(Import.DataBase)=2027,1.8%,0%)))),0%))</f>
        <v>0</v>
      </c>
      <c r="U108" s="122" t="str">
        <f aca="false">IFERROR(IF(T108="◄","FALTA PREENCHER",IF(AND(OR(S108&gt;=X108,X108="-"),OR(S108&lt;=Z108,Z108="-")),"OK","FORA DO INTERVALO")),"-")</f>
        <v>OK</v>
      </c>
      <c r="V108" s="122"/>
      <c r="W108" s="122"/>
      <c r="X108" s="124" t="n">
        <f aca="false">$S108</f>
        <v>0</v>
      </c>
      <c r="Y108" s="124" t="n">
        <f aca="false">$S108</f>
        <v>0</v>
      </c>
      <c r="Z108" s="124" t="n">
        <f aca="false">$S108</f>
        <v>0</v>
      </c>
    </row>
    <row r="109" customFormat="false" ht="15" hidden="false" customHeight="true" outlineLevel="0" collapsed="false">
      <c r="I109" s="0" t="str">
        <f aca="false">IF($S$109=0,"","F")</f>
        <v/>
      </c>
      <c r="J109" s="118" t="s">
        <v>741</v>
      </c>
      <c r="K109" s="118"/>
      <c r="L109" s="118"/>
      <c r="M109" s="118"/>
      <c r="N109" s="118"/>
      <c r="O109" s="118"/>
      <c r="P109" s="118"/>
      <c r="Q109" s="118"/>
      <c r="R109" s="125" t="s">
        <v>716</v>
      </c>
      <c r="S109" s="123" t="n">
        <f aca="false">IF($J97=$A$145,0,ROUND((((1+S101+S102+S103)*(1+S104)*(1+S105)/(1-(S106+S107)))-1),4))</f>
        <v>0</v>
      </c>
      <c r="U109" s="116" t="str">
        <f aca="false">IFERROR(IF(AND(OR(S109&gt;=X109,X109="-"),OR(S109&lt;=Z109,Z109="-")),"OK","FORA DO INTERVALO"),IF(S109=0,"OK","Selecione o Tipo de obra"))</f>
        <v>OK</v>
      </c>
      <c r="V109" s="116"/>
      <c r="W109" s="116"/>
      <c r="X109" s="123" t="e">
        <f aca="false">IF($J97=$A$145,0,VLOOKUP(CONCATENATE($J97,"-",$R109),$C$2:$G$136,3,FALSE()))</f>
        <v>#N/A</v>
      </c>
      <c r="Y109" s="123" t="e">
        <f aca="false">IF($J97=$A$145,0,VLOOKUP(CONCATENATE($J97,"-",$R109),$C$2:$G$136,4,FALSE()))</f>
        <v>#N/A</v>
      </c>
      <c r="Z109" s="123" t="e">
        <f aca="false">IF($J97=$A$145,0,VLOOKUP(CONCATENATE($J97,"-",$R109),$C$2:$G$136,5,FALSE()))</f>
        <v>#N/A</v>
      </c>
    </row>
    <row r="110" customFormat="false" ht="15" hidden="false" customHeight="true" outlineLevel="0" collapsed="false">
      <c r="I110" s="0" t="str">
        <f aca="false">IF($S$109=0,"","F")</f>
        <v/>
      </c>
      <c r="J110" s="126" t="s">
        <v>742</v>
      </c>
      <c r="K110" s="126"/>
      <c r="L110" s="126"/>
      <c r="M110" s="126"/>
      <c r="N110" s="126"/>
      <c r="O110" s="126"/>
      <c r="P110" s="126"/>
      <c r="Q110" s="126"/>
      <c r="R110" s="126" t="s">
        <v>743</v>
      </c>
      <c r="S110" s="127" t="n">
        <f aca="false">IF($J97=$A$145,0,ROUND((((1+S101+S102+S103)*(1+S104)*(1+S105)/(1-(S106+S107+S108)))-1),4))</f>
        <v>0</v>
      </c>
    </row>
    <row r="111" customFormat="false" ht="15" hidden="false" customHeight="true" outlineLevel="0" collapsed="false">
      <c r="I111" s="0" t="str">
        <f aca="false">IF($S$109=0,"","F")</f>
        <v/>
      </c>
    </row>
    <row r="112" customFormat="false" ht="15" hidden="false" customHeight="false" outlineLevel="0" collapsed="false">
      <c r="I112" s="0" t="str">
        <f aca="false">IF($S$109=0,"","F")</f>
        <v/>
      </c>
      <c r="J112" s="128" t="str">
        <f aca="false">IF(U109&lt;&gt;"ok","X","")</f>
        <v/>
      </c>
      <c r="K112" s="129" t="str">
        <f aca="false">IF(U109&lt;&gt;"ok","Anexo: Relatório Técnico Circunstanciado justificando a adoção do percentual de cada parcela do BDI.","")</f>
        <v/>
      </c>
      <c r="L112" s="129"/>
      <c r="M112" s="129"/>
      <c r="N112" s="129"/>
      <c r="O112" s="129"/>
      <c r="P112" s="129"/>
      <c r="Q112" s="129"/>
      <c r="R112" s="129"/>
      <c r="S112" s="129"/>
    </row>
    <row r="113" customFormat="false" ht="12.75" hidden="false" customHeight="false" outlineLevel="0" collapsed="false">
      <c r="I113" s="0" t="str">
        <f aca="false">IF($S$109=0,"","F")</f>
        <v/>
      </c>
    </row>
    <row r="114" customFormat="false" ht="12.75" hidden="false" customHeight="false" outlineLevel="0" collapsed="false">
      <c r="I114" s="0" t="str">
        <f aca="false">IF($S$109=0,"","F")</f>
        <v/>
      </c>
      <c r="J114" s="130" t="s">
        <v>745</v>
      </c>
      <c r="K114" s="130"/>
      <c r="L114" s="130"/>
      <c r="M114" s="130"/>
      <c r="N114" s="130"/>
      <c r="O114" s="130"/>
      <c r="P114" s="130"/>
      <c r="Q114" s="130"/>
      <c r="R114" s="130"/>
      <c r="S114" s="130"/>
    </row>
    <row r="115" customFormat="false" ht="15" hidden="false" customHeight="false" outlineLevel="0" collapsed="false">
      <c r="I115" s="0" t="str">
        <f aca="false">IF($S$109=0,"","F")</f>
        <v/>
      </c>
      <c r="J115" s="131"/>
      <c r="K115" s="131"/>
      <c r="L115" s="131"/>
      <c r="M115" s="132" t="s">
        <v>746</v>
      </c>
      <c r="N115" s="133" t="str">
        <f aca="false">IF($J97=$A$146,"(1+K1+K2)*(1+K3)","(1+AC + S + R + G)*(1 + DF)*(1+L)")</f>
        <v>(1+AC + S + R + G)*(1 + DF)*(1+L)</v>
      </c>
      <c r="O115" s="133"/>
      <c r="P115" s="133"/>
      <c r="Q115" s="134" t="s">
        <v>747</v>
      </c>
      <c r="R115" s="131"/>
      <c r="S115" s="131"/>
    </row>
    <row r="116" customFormat="false" ht="15" hidden="false" customHeight="false" outlineLevel="0" collapsed="false">
      <c r="I116" s="0" t="str">
        <f aca="false">IF($S$109=0,"","F")</f>
        <v/>
      </c>
      <c r="J116" s="131"/>
      <c r="K116" s="131"/>
      <c r="L116" s="131"/>
      <c r="M116" s="132"/>
      <c r="N116" s="135" t="s">
        <v>748</v>
      </c>
      <c r="O116" s="135"/>
      <c r="P116" s="135"/>
      <c r="Q116" s="134"/>
      <c r="R116" s="131"/>
      <c r="S116" s="131"/>
    </row>
    <row r="117" customFormat="false" ht="15" hidden="false" customHeight="true" outlineLevel="0" collapsed="false">
      <c r="I117" s="0" t="str">
        <f aca="false">IF($S$109=0,"","F")</f>
        <v/>
      </c>
      <c r="J117" s="131"/>
      <c r="K117" s="131"/>
      <c r="L117" s="131"/>
      <c r="M117" s="152"/>
      <c r="N117" s="153"/>
      <c r="O117" s="153"/>
      <c r="P117" s="153"/>
      <c r="Q117" s="154"/>
      <c r="R117" s="131"/>
      <c r="S117" s="131"/>
    </row>
    <row r="118" customFormat="false" ht="49.5" hidden="false" customHeight="true" outlineLevel="0" collapsed="false">
      <c r="I118" s="0" t="str">
        <f aca="false">IF($S$109=0,"","F")</f>
        <v/>
      </c>
      <c r="J118" s="137" t="str">
        <f aca="false">CONCATENATE("Declaro para os devidos fins que, conforme legislação tributária municipal, a base de cálculo deste tipo de obra corresponde à ",$R$10*100,"%, com a respectiva alíquota de ",$R$11*100,"%.")</f>
        <v>Declaro para os devidos fins que, conforme legislação tributária municipal, a base de cálculo deste tipo de obra corresponde à 100%, com a respectiva alíquota de 2%.</v>
      </c>
      <c r="K118" s="137"/>
      <c r="L118" s="137"/>
      <c r="M118" s="137"/>
      <c r="N118" s="137"/>
      <c r="O118" s="137"/>
      <c r="P118" s="137"/>
      <c r="Q118" s="137"/>
      <c r="R118" s="137"/>
      <c r="S118" s="137"/>
    </row>
    <row r="119" customFormat="false" ht="12.75" hidden="false" customHeight="false" outlineLevel="0" collapsed="false">
      <c r="I119" s="0" t="str">
        <f aca="false">IF($S$109=0,"","F")</f>
        <v/>
      </c>
    </row>
    <row r="120" customFormat="false" ht="49.5" hidden="false" customHeight="true" outlineLevel="0" collapsed="false">
      <c r="I120" s="0" t="str">
        <f aca="false">IF($S$109=0,"","F")</f>
        <v/>
      </c>
      <c r="J120" s="137" t="str">
        <f aca="true" t="array" ref="J120:J120">CONCATENATE("Declaro para os devidos fins que o regime de Contribuição Previdenciária sobre a Receita Bruta adotado para elaboração do orçamento foi ",IF(DESONERACAO="Sim","COM","SEM")," Desoneração, e que esta é a alternativa mais adequada para a Administração Pública.")</f>
        <v>Declaro para os devidos fins que o regime de Contribuição Previdenciária sobre a Receita Bruta adotado para elaboração do orçamento foi COM Desoneração, e que esta é a alternativa mais adequada para a Administração Pública.</v>
      </c>
      <c r="K120" s="137"/>
      <c r="L120" s="137"/>
      <c r="M120" s="137"/>
      <c r="N120" s="137"/>
      <c r="O120" s="137"/>
      <c r="P120" s="137"/>
      <c r="Q120" s="137"/>
      <c r="R120" s="137"/>
      <c r="S120" s="137"/>
    </row>
    <row r="121" customFormat="false" ht="12.75" hidden="false" customHeight="false" outlineLevel="0" collapsed="false">
      <c r="I121" s="0" t="str">
        <f aca="false">IF($S$109=0,"","F")</f>
        <v/>
      </c>
    </row>
    <row r="122" customFormat="false" ht="12.75" hidden="false" customHeight="false" outlineLevel="0" collapsed="false">
      <c r="I122" s="0" t="str">
        <f aca="false">IF($S$109=0,"","F")</f>
        <v/>
      </c>
      <c r="J122" s="95" t="s">
        <v>751</v>
      </c>
    </row>
    <row r="123" customFormat="false" ht="109.5" hidden="false" customHeight="true" outlineLevel="0" collapsed="false">
      <c r="I123" s="0" t="str">
        <f aca="false">IF($S$109=0,"","F")</f>
        <v/>
      </c>
      <c r="J123" s="138"/>
      <c r="K123" s="138"/>
      <c r="L123" s="138"/>
      <c r="M123" s="138"/>
      <c r="N123" s="138"/>
      <c r="O123" s="138"/>
      <c r="P123" s="138"/>
      <c r="Q123" s="138"/>
      <c r="R123" s="138"/>
      <c r="S123" s="138"/>
    </row>
    <row r="124" customFormat="false" ht="12.75" hidden="false" customHeight="false" outlineLevel="0" collapsed="false">
      <c r="I124" s="0" t="str">
        <f aca="false">IF($S$109=0,"","F")</f>
        <v/>
      </c>
    </row>
    <row r="125" customFormat="false" ht="12.75" hidden="false" customHeight="false" outlineLevel="0" collapsed="false">
      <c r="I125" s="0" t="str">
        <f aca="false">IF($S$109=0,"","F")</f>
        <v/>
      </c>
      <c r="J125" s="139" t="str">
        <f aca="false">Import.Município</f>
        <v>TRAMANDAI/RS</v>
      </c>
      <c r="K125" s="139"/>
      <c r="L125" s="139"/>
      <c r="M125" s="139"/>
      <c r="P125" s="140" t="n">
        <f aca="false">DADOS!$C$25</f>
        <v>46098</v>
      </c>
      <c r="Q125" s="140"/>
      <c r="R125" s="140"/>
      <c r="S125" s="140"/>
    </row>
    <row r="126" customFormat="false" ht="12.75" hidden="false" customHeight="false" outlineLevel="0" collapsed="false">
      <c r="I126" s="0" t="str">
        <f aca="false">IF($S$109=0,"","F")</f>
        <v/>
      </c>
      <c r="J126" s="141" t="s">
        <v>755</v>
      </c>
      <c r="K126" s="141"/>
      <c r="L126" s="141"/>
      <c r="M126" s="141"/>
      <c r="O126" s="142"/>
      <c r="P126" s="143" t="s">
        <v>756</v>
      </c>
      <c r="Q126" s="144"/>
      <c r="R126" s="144"/>
      <c r="S126" s="144"/>
    </row>
    <row r="127" customFormat="false" ht="30" hidden="false" customHeight="true" outlineLevel="0" collapsed="false">
      <c r="I127" s="0" t="str">
        <f aca="false">IF($S$109=0,"","F")</f>
        <v/>
      </c>
    </row>
    <row r="128" customFormat="false" ht="13.8" hidden="false" customHeight="false" outlineLevel="0" collapsed="false">
      <c r="I128" s="0" t="str">
        <f aca="false">IF($S$109=0,"","F")</f>
        <v/>
      </c>
      <c r="J128" s="145"/>
      <c r="K128" s="145"/>
      <c r="L128" s="145"/>
      <c r="M128" s="145"/>
      <c r="N128" s="146"/>
    </row>
    <row r="129" customFormat="false" ht="12.75" hidden="false" customHeight="false" outlineLevel="0" collapsed="false">
      <c r="I129" s="0" t="str">
        <f aca="false">IF($S$109=0,"","F")</f>
        <v/>
      </c>
      <c r="J129" s="147" t="s">
        <v>758</v>
      </c>
      <c r="K129" s="147"/>
      <c r="L129" s="147"/>
      <c r="M129" s="147"/>
    </row>
    <row r="130" customFormat="false" ht="13.8" hidden="false" customHeight="false" outlineLevel="0" collapsed="false">
      <c r="I130" s="0" t="str">
        <f aca="false">IF($S$109=0,"","F")</f>
        <v/>
      </c>
      <c r="J130" s="148" t="s">
        <v>297</v>
      </c>
      <c r="K130" s="149" t="str">
        <f aca="false" t="array" ref="K130:K132">Import.RespOrçamento</f>
        <v>Jaqueline Ferreira / Marcio R. Maciel</v>
      </c>
      <c r="L130" s="150"/>
      <c r="M130" s="150"/>
      <c r="N130" s="146"/>
    </row>
    <row r="131" customFormat="false" ht="13.8" hidden="false" customHeight="false" outlineLevel="0" collapsed="false">
      <c r="I131" s="0" t="str">
        <f aca="false">IF($S$109=0,"","F")</f>
        <v/>
      </c>
      <c r="J131" s="148" t="s">
        <v>301</v>
      </c>
      <c r="K131" s="149" t="str">
        <v> CAU A152414-3  / CREA RS236197</v>
      </c>
      <c r="L131" s="150"/>
      <c r="M131" s="150"/>
      <c r="N131" s="146"/>
    </row>
    <row r="132" customFormat="false" ht="13.8" hidden="false" customHeight="false" outlineLevel="0" collapsed="false">
      <c r="I132" s="0" t="str">
        <f aca="false">IF($S$109=0,"","F")</f>
        <v/>
      </c>
      <c r="J132" s="148" t="s">
        <v>305</v>
      </c>
      <c r="K132" s="149" t="n">
        <v>0</v>
      </c>
      <c r="L132" s="150"/>
      <c r="M132" s="150"/>
      <c r="N132" s="146"/>
    </row>
    <row r="138" customFormat="false" ht="12.75" hidden="false" customHeight="false" outlineLevel="0" collapsed="false">
      <c r="A138" s="95" t="s">
        <v>140</v>
      </c>
    </row>
    <row r="139" customFormat="false" ht="12.75" hidden="false" customHeight="false" outlineLevel="0" collapsed="false">
      <c r="A139" s="95" t="s">
        <v>705</v>
      </c>
    </row>
    <row r="140" customFormat="false" ht="12.75" hidden="false" customHeight="false" outlineLevel="0" collapsed="false">
      <c r="A140" s="95" t="s">
        <v>718</v>
      </c>
    </row>
    <row r="141" customFormat="false" ht="12.75" hidden="false" customHeight="false" outlineLevel="0" collapsed="false">
      <c r="A141" s="95" t="s">
        <v>722</v>
      </c>
    </row>
    <row r="142" customFormat="false" ht="12.75" hidden="false" customHeight="false" outlineLevel="0" collapsed="false">
      <c r="A142" s="95" t="s">
        <v>732</v>
      </c>
    </row>
    <row r="143" customFormat="false" ht="12.75" hidden="false" customHeight="false" outlineLevel="0" collapsed="false">
      <c r="A143" s="95" t="s">
        <v>735</v>
      </c>
    </row>
    <row r="144" customFormat="false" ht="12.75" hidden="false" customHeight="false" outlineLevel="0" collapsed="false">
      <c r="A144" s="95" t="s">
        <v>744</v>
      </c>
    </row>
    <row r="145" customFormat="false" ht="12.75" hidden="false" customHeight="false" outlineLevel="0" collapsed="false">
      <c r="A145" s="95" t="s">
        <v>749</v>
      </c>
    </row>
    <row r="146" customFormat="false" ht="12.75" hidden="false" customHeight="false" outlineLevel="0" collapsed="false">
      <c r="A146" s="95" t="s">
        <v>752</v>
      </c>
    </row>
  </sheetData>
  <sheetProtection algorithmName="SHA-512" hashValue="dzNCo68V5QQ9d9lJHdQ+4cADxEqGFR41X0yZVyNNRTHLFViXMCGHQ8J6qL86NeA5JS0EIaKUzv73zn5TBZ0OxQ==" saltValue="RdY9v5FPlS6vE9AZQkiH7A==" spinCount="100000" sheet="true" objects="true" scenarios="true" autoFilter="false"/>
  <autoFilter ref="I11:I132"/>
  <mergeCells count="144">
    <mergeCell ref="R1:S1"/>
    <mergeCell ref="R2:S2"/>
    <mergeCell ref="J4:K4"/>
    <mergeCell ref="L4:M4"/>
    <mergeCell ref="N4:S4"/>
    <mergeCell ref="J5:K5"/>
    <mergeCell ref="L5:M5"/>
    <mergeCell ref="N5:S5"/>
    <mergeCell ref="I6:I10"/>
    <mergeCell ref="J7:S7"/>
    <mergeCell ref="J8:S8"/>
    <mergeCell ref="J10:Q10"/>
    <mergeCell ref="R10:S10"/>
    <mergeCell ref="J11:Q11"/>
    <mergeCell ref="R11:S11"/>
    <mergeCell ref="J14:S14"/>
    <mergeCell ref="J16:S16"/>
    <mergeCell ref="J17:S17"/>
    <mergeCell ref="J19:Q20"/>
    <mergeCell ref="R19:R20"/>
    <mergeCell ref="S19:S20"/>
    <mergeCell ref="U19:W20"/>
    <mergeCell ref="X19:X20"/>
    <mergeCell ref="Y19:Y20"/>
    <mergeCell ref="Z19:Z20"/>
    <mergeCell ref="J21:Q21"/>
    <mergeCell ref="U21:W21"/>
    <mergeCell ref="J22:Q22"/>
    <mergeCell ref="U22:W22"/>
    <mergeCell ref="J23:Q23"/>
    <mergeCell ref="U23:W23"/>
    <mergeCell ref="J24:Q24"/>
    <mergeCell ref="U24:W24"/>
    <mergeCell ref="J25:Q25"/>
    <mergeCell ref="U25:W25"/>
    <mergeCell ref="J26:Q26"/>
    <mergeCell ref="U26:W26"/>
    <mergeCell ref="J27:Q27"/>
    <mergeCell ref="U27:W27"/>
    <mergeCell ref="J28:Q28"/>
    <mergeCell ref="U28:W28"/>
    <mergeCell ref="J29:Q29"/>
    <mergeCell ref="U29:W29"/>
    <mergeCell ref="J30:Q30"/>
    <mergeCell ref="K32:S32"/>
    <mergeCell ref="J34:S34"/>
    <mergeCell ref="M35:M36"/>
    <mergeCell ref="N35:P35"/>
    <mergeCell ref="Q35:Q36"/>
    <mergeCell ref="N36:P36"/>
    <mergeCell ref="J38:S38"/>
    <mergeCell ref="J40:S40"/>
    <mergeCell ref="J43:S43"/>
    <mergeCell ref="J45:M45"/>
    <mergeCell ref="P45:S45"/>
    <mergeCell ref="J46:M46"/>
    <mergeCell ref="J48:M48"/>
    <mergeCell ref="J49:M49"/>
    <mergeCell ref="J54:S54"/>
    <mergeCell ref="J56:S56"/>
    <mergeCell ref="J57:S57"/>
    <mergeCell ref="J59:Q60"/>
    <mergeCell ref="R59:R60"/>
    <mergeCell ref="S59:S60"/>
    <mergeCell ref="U59:W60"/>
    <mergeCell ref="X59:X60"/>
    <mergeCell ref="Y59:Y60"/>
    <mergeCell ref="Z59:Z60"/>
    <mergeCell ref="J61:Q61"/>
    <mergeCell ref="U61:W61"/>
    <mergeCell ref="J62:Q62"/>
    <mergeCell ref="U62:W62"/>
    <mergeCell ref="J63:Q63"/>
    <mergeCell ref="U63:W63"/>
    <mergeCell ref="J64:Q64"/>
    <mergeCell ref="U64:W64"/>
    <mergeCell ref="J65:Q65"/>
    <mergeCell ref="U65:W65"/>
    <mergeCell ref="J66:Q66"/>
    <mergeCell ref="U66:W66"/>
    <mergeCell ref="J67:Q67"/>
    <mergeCell ref="U67:W67"/>
    <mergeCell ref="J68:Q68"/>
    <mergeCell ref="U68:W68"/>
    <mergeCell ref="J69:Q69"/>
    <mergeCell ref="U69:W69"/>
    <mergeCell ref="J70:Q70"/>
    <mergeCell ref="K72:S72"/>
    <mergeCell ref="J74:S74"/>
    <mergeCell ref="M75:M76"/>
    <mergeCell ref="N75:P75"/>
    <mergeCell ref="Q75:Q76"/>
    <mergeCell ref="N76:P76"/>
    <mergeCell ref="J78:S78"/>
    <mergeCell ref="J80:S80"/>
    <mergeCell ref="J83:S83"/>
    <mergeCell ref="J85:M85"/>
    <mergeCell ref="P85:S85"/>
    <mergeCell ref="J86:M86"/>
    <mergeCell ref="J88:M88"/>
    <mergeCell ref="J89:M89"/>
    <mergeCell ref="J94:S94"/>
    <mergeCell ref="J96:S96"/>
    <mergeCell ref="J97:S97"/>
    <mergeCell ref="J99:Q100"/>
    <mergeCell ref="R99:R100"/>
    <mergeCell ref="S99:S100"/>
    <mergeCell ref="U99:W100"/>
    <mergeCell ref="X99:X100"/>
    <mergeCell ref="Y99:Y100"/>
    <mergeCell ref="Z99:Z100"/>
    <mergeCell ref="J101:Q101"/>
    <mergeCell ref="U101:W101"/>
    <mergeCell ref="J102:Q102"/>
    <mergeCell ref="U102:W102"/>
    <mergeCell ref="J103:Q103"/>
    <mergeCell ref="U103:W103"/>
    <mergeCell ref="J104:Q104"/>
    <mergeCell ref="U104:W104"/>
    <mergeCell ref="J105:Q105"/>
    <mergeCell ref="U105:W105"/>
    <mergeCell ref="J106:Q106"/>
    <mergeCell ref="U106:W106"/>
    <mergeCell ref="J107:Q107"/>
    <mergeCell ref="U107:W107"/>
    <mergeCell ref="J108:Q108"/>
    <mergeCell ref="U108:W108"/>
    <mergeCell ref="J109:Q109"/>
    <mergeCell ref="U109:W109"/>
    <mergeCell ref="J110:Q110"/>
    <mergeCell ref="K112:S112"/>
    <mergeCell ref="J114:S114"/>
    <mergeCell ref="M115:M116"/>
    <mergeCell ref="N115:P115"/>
    <mergeCell ref="Q115:Q116"/>
    <mergeCell ref="N116:P116"/>
    <mergeCell ref="J118:S118"/>
    <mergeCell ref="J120:S120"/>
    <mergeCell ref="J123:S123"/>
    <mergeCell ref="J125:M125"/>
    <mergeCell ref="P125:S125"/>
    <mergeCell ref="J126:M126"/>
    <mergeCell ref="J128:M128"/>
    <mergeCell ref="J129:M129"/>
  </mergeCells>
  <conditionalFormatting sqref="U101:W108">
    <cfRule type="cellIs" priority="2" operator="notEqual" aboveAverage="0" equalAverage="0" bottom="0" percent="0" rank="0" text="" dxfId="9">
      <formula>"OK"</formula>
    </cfRule>
  </conditionalFormatting>
  <conditionalFormatting sqref="U61:W68">
    <cfRule type="cellIs" priority="3" operator="notEqual" aboveAverage="0" equalAverage="0" bottom="0" percent="0" rank="0" text="" dxfId="10">
      <formula>"OK"</formula>
    </cfRule>
  </conditionalFormatting>
  <conditionalFormatting sqref="U21:W28">
    <cfRule type="cellIs" priority="4" operator="notEqual" aboveAverage="0" equalAverage="0" bottom="0" percent="0" rank="0" text="" dxfId="11">
      <formula>"OK"</formula>
    </cfRule>
  </conditionalFormatting>
  <conditionalFormatting sqref="S101:S106">
    <cfRule type="expression" priority="5" aboveAverage="0" equalAverage="0" bottom="0" percent="0" rank="0" text="" dxfId="12">
      <formula>$J$97=$A$145</formula>
    </cfRule>
  </conditionalFormatting>
  <conditionalFormatting sqref="J103:S104">
    <cfRule type="expression" priority="6" aboveAverage="0" equalAverage="0" bottom="0" percent="0" rank="0" text="" dxfId="13">
      <formula>$J$97=$A$146</formula>
    </cfRule>
  </conditionalFormatting>
  <conditionalFormatting sqref="S61:S66">
    <cfRule type="expression" priority="7" aboveAverage="0" equalAverage="0" bottom="0" percent="0" rank="0" text="" dxfId="14">
      <formula>$J$57=$A$145</formula>
    </cfRule>
  </conditionalFormatting>
  <conditionalFormatting sqref="J63:S64">
    <cfRule type="expression" priority="8" aboveAverage="0" equalAverage="0" bottom="0" percent="0" rank="0" text="" dxfId="15">
      <formula>$J$57=$A$146</formula>
    </cfRule>
  </conditionalFormatting>
  <conditionalFormatting sqref="S21:S26">
    <cfRule type="expression" priority="9" aboveAverage="0" equalAverage="0" bottom="0" percent="0" rank="0" text="" dxfId="16">
      <formula>$J$17=$A$145</formula>
    </cfRule>
  </conditionalFormatting>
  <conditionalFormatting sqref="J23:S24">
    <cfRule type="expression" priority="10" aboveAverage="0" equalAverage="0" bottom="0" percent="0" rank="0" text="" dxfId="17">
      <formula>$J$17=$A$146</formula>
    </cfRule>
  </conditionalFormatting>
  <conditionalFormatting sqref="J30:S30 J70:S70 J110:S110">
    <cfRule type="expression" priority="11" aboveAverage="0" equalAverage="0" bottom="0" percent="0" rank="0" text="" dxfId="18">
      <formula>DESONERACAO="não"</formula>
    </cfRule>
  </conditionalFormatting>
  <conditionalFormatting sqref="U69:W69 U29:W29 U109:W109">
    <cfRule type="expression" priority="12" aboveAverage="0" equalAverage="0" bottom="0" percent="0" rank="0" text="" dxfId="19">
      <formula>AND(U29&lt;&gt;"OK",U29&lt;&gt;"-",U29&lt;&gt;"")</formula>
    </cfRule>
    <cfRule type="cellIs" priority="13" operator="equal" aboveAverage="0" equalAverage="0" bottom="0" percent="0" rank="0" text="" dxfId="20">
      <formula>"OK"</formula>
    </cfRule>
  </conditionalFormatting>
  <conditionalFormatting sqref="S29 S69 S109">
    <cfRule type="expression" priority="14" aboveAverage="0" equalAverage="0" bottom="0" percent="0" rank="0" text="" dxfId="21">
      <formula>DESONERACAO="não"</formula>
    </cfRule>
  </conditionalFormatting>
  <dataValidations count="6">
    <dataValidation allowBlank="true" error="Digite um valor entre 0% e 100%" errorStyle="stop" errorTitle="Erro de valores" operator="between" showDropDown="false" showErrorMessage="true" showInputMessage="false" sqref="S21:S26 S61:S66 S101:S106" type="decimal">
      <formula1>0</formula1>
      <formula2>1</formula2>
    </dataValidation>
    <dataValidation allowBlank="true" error="Digite um valor maior do que 0." errorStyle="stop" errorTitle="Erro de valores" operator="between" showDropDown="false" showErrorMessage="true" showInputMessage="false" sqref="S27 S67 S107" type="decimal">
      <formula1>0</formula1>
      <formula2>1</formula2>
    </dataValidation>
    <dataValidation allowBlank="true" error="Digite um valor igual a 0% ou 2%." errorStyle="stop" errorTitle="Erro de valores" operator="greaterThanOrEqual" showDropDown="false" showErrorMessage="true" showInputMessage="false" sqref="S28 S68 S108" type="none">
      <formula1>0</formula1>
      <formula2>0</formula2>
    </dataValidation>
    <dataValidation allowBlank="true" error="Digite um percentual entre 2% e 5%." errorStyle="stop" errorTitle="Valor não permitido" operator="between" prompt="Entre 2 e 5%." promptTitle="Valores comuns:" showDropDown="false" showErrorMessage="true" showInputMessage="true" sqref="R11:S11" type="decimal">
      <formula1>0.02</formula1>
      <formula2>0.05</formula2>
    </dataValidation>
    <dataValidation allowBlank="true" error="Digite um percentual entre 0% e 100%." errorStyle="stop" errorTitle="Valor não permitido" operator="between" prompt="Insira valores entre 0 e 100%." promptTitle="Valores admissíveis:" showDropDown="false" showErrorMessage="true" showInputMessage="true" sqref="R10:S10" type="decimal">
      <formula1>0</formula1>
      <formula2>1</formula2>
    </dataValidation>
    <dataValidation allowBlank="true" errorStyle="stop" operator="between" showDropDown="false" showErrorMessage="true" showInputMessage="false" sqref="J17:S17 J57:S57 J97:S97" type="list">
      <formula1>BDI.TipoObra</formula1>
      <formula2>0</formula2>
    </dataValidation>
  </dataValidations>
  <printOptions headings="false" gridLines="false" gridLinesSet="true" horizontalCentered="true" verticalCentered="false"/>
  <pageMargins left="0.590277777777778" right="0.590277777777778" top="0.786805555555556" bottom="0.786805555555556" header="5.70833333333333" footer="0.590277777777778"/>
  <pageSetup paperSize="9" scale="75"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rowBreaks count="2" manualBreakCount="2">
    <brk id="53" man="true" max="16383" min="0"/>
    <brk id="93" man="true" max="16383" min="0"/>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N1076"/>
  <sheetViews>
    <sheetView showFormulas="false" showGridLines="false" showRowColHeaders="true" showZeros="true" rightToLeft="false" tabSelected="false" showOutlineSymbols="true" defaultGridColor="true" view="pageBreakPreview" topLeftCell="A1" colorId="64" zoomScale="90" zoomScaleNormal="100" zoomScalePageLayoutView="90" workbookViewId="0">
      <pane xSplit="19" ySplit="15" topLeftCell="T26" activePane="bottomRight" state="frozen"/>
      <selection pane="topLeft" activeCell="A1" activeCellId="0" sqref="A1"/>
      <selection pane="topRight" activeCell="T1" activeCellId="0" sqref="T1"/>
      <selection pane="bottomLeft" activeCell="A26" activeCellId="0" sqref="A26"/>
      <selection pane="bottomRight" activeCell="U28" activeCellId="0" sqref="U28"/>
    </sheetView>
  </sheetViews>
  <sheetFormatPr defaultColWidth="8.6796875" defaultRowHeight="12.75" customHeight="false" zeroHeight="false" outlineLevelRow="0" outlineLevelCol="0"/>
  <cols>
    <col collapsed="false" customWidth="true" hidden="true" outlineLevel="0" max="1" min="1" style="0" width="5.57"/>
    <col collapsed="false" customWidth="true" hidden="true" outlineLevel="0" max="2" min="2" style="0" width="10.42"/>
    <col collapsed="false" customWidth="true" hidden="true" outlineLevel="0" max="3" min="3" style="0" width="5.57"/>
    <col collapsed="false" customWidth="true" hidden="true" outlineLevel="0" max="4" min="4" style="0" width="12.86"/>
    <col collapsed="false" customWidth="true" hidden="true" outlineLevel="0" max="5" min="5" style="0" width="8.57"/>
    <col collapsed="false" customWidth="true" hidden="true" outlineLevel="0" max="6" min="6" style="0" width="12.42"/>
    <col collapsed="false" customWidth="true" hidden="true" outlineLevel="0" max="7" min="7" style="0" width="14.57"/>
    <col collapsed="false" customWidth="true" hidden="true" outlineLevel="0" max="8" min="8" style="0" width="11.43"/>
    <col collapsed="false" customWidth="true" hidden="true" outlineLevel="0" max="9" min="9" style="0" width="13.42"/>
    <col collapsed="false" customWidth="true" hidden="true" outlineLevel="0" max="10" min="10" style="0" width="7.42"/>
    <col collapsed="false" customWidth="true" hidden="true" outlineLevel="0" max="11" min="11" style="0" width="7.57"/>
    <col collapsed="false" customWidth="true" hidden="false" outlineLevel="0" max="12" min="12" style="0" width="3.57"/>
    <col collapsed="false" customWidth="true" hidden="false" outlineLevel="0" max="14" min="13" style="0" width="8.57"/>
    <col collapsed="false" customWidth="true" hidden="false" outlineLevel="0" max="15" min="15" style="0" width="12.57"/>
    <col collapsed="false" customWidth="true" hidden="false" outlineLevel="0" max="17" min="16" style="0" width="15.57"/>
    <col collapsed="false" customWidth="true" hidden="false" outlineLevel="0" max="18" min="18" style="0" width="65.57"/>
    <col collapsed="false" customWidth="true" hidden="false" outlineLevel="0" max="19" min="19" style="0" width="10.57"/>
    <col collapsed="false" customWidth="true" hidden="false" outlineLevel="0" max="21" min="20" style="0" width="14.57"/>
    <col collapsed="false" customWidth="true" hidden="false" outlineLevel="0" max="22" min="22" style="0" width="10.57"/>
    <col collapsed="false" customWidth="true" hidden="false" outlineLevel="0" max="23" min="23" style="0" width="14.57"/>
    <col collapsed="false" customWidth="true" hidden="false" outlineLevel="0" max="24" min="24" style="0" width="15.57"/>
    <col collapsed="false" customWidth="true" hidden="false" outlineLevel="0" max="25" min="25" style="0" width="3.57"/>
    <col collapsed="false" customWidth="true" hidden="true" outlineLevel="0" max="26" min="26" style="0" width="3.57"/>
    <col collapsed="false" customWidth="true" hidden="true" outlineLevel="0" max="28" min="27" style="0" width="14.57"/>
    <col collapsed="false" customWidth="true" hidden="false" outlineLevel="0" max="29" min="29" style="0" width="15.57"/>
    <col collapsed="false" customWidth="true" hidden="true" outlineLevel="0" max="31" min="30" style="0" width="9.14"/>
    <col collapsed="false" customWidth="true" hidden="true" outlineLevel="0" max="32" min="32" style="0" width="15.57"/>
    <col collapsed="false" customWidth="true" hidden="false" outlineLevel="0" max="33" min="33" style="0" width="15.57"/>
    <col collapsed="false" customWidth="true" hidden="false" outlineLevel="0" max="35" min="35" style="0" width="1.57"/>
    <col collapsed="false" customWidth="true" hidden="false" outlineLevel="0" max="36" min="36" style="0" width="14.57"/>
    <col collapsed="false" customWidth="true" hidden="false" outlineLevel="0" max="37" min="37" style="0" width="1.57"/>
    <col collapsed="false" customWidth="true" hidden="false" outlineLevel="0" max="38" min="38" style="0" width="14.57"/>
    <col collapsed="false" customWidth="true" hidden="false" outlineLevel="0" max="40" min="39" style="0" width="15.57"/>
  </cols>
  <sheetData>
    <row r="1" customFormat="false" ht="17.35" hidden="false" customHeight="false" outlineLevel="0" collapsed="false">
      <c r="M1" s="155"/>
      <c r="N1" s="155"/>
      <c r="R1" s="156" t="s">
        <v>761</v>
      </c>
      <c r="T1" s="156"/>
      <c r="X1" s="98" t="s">
        <v>704</v>
      </c>
      <c r="Y1" s="48"/>
      <c r="Z1" s="48"/>
      <c r="AA1" s="48"/>
      <c r="AB1" s="48"/>
    </row>
    <row r="2" customFormat="false" ht="15" hidden="false" customHeight="false" outlineLevel="0" collapsed="false">
      <c r="D2" s="157" t="s">
        <v>762</v>
      </c>
      <c r="E2" s="157" t="s">
        <v>763</v>
      </c>
      <c r="F2" s="157" t="s">
        <v>764</v>
      </c>
      <c r="G2" s="157" t="s">
        <v>765</v>
      </c>
      <c r="H2" s="157" t="s">
        <v>766</v>
      </c>
      <c r="I2" s="157" t="s">
        <v>767</v>
      </c>
      <c r="R2" s="158" t="str">
        <f aca="false" t="array" ref="R2:R2">IF(TIPOORCAMENTO="licitado","Orçamento Licitado","Orçamento Base para Licitação")&amp;" - "&amp;import.recurso</f>
        <v>Orçamento Base para Licitação - OGU</v>
      </c>
      <c r="X2" s="58" t="s">
        <v>707</v>
      </c>
      <c r="Y2" s="60"/>
      <c r="Z2" s="60"/>
      <c r="AA2" s="60"/>
      <c r="AB2" s="60"/>
    </row>
    <row r="3" customFormat="false" ht="12.75" hidden="false" customHeight="false" outlineLevel="0" collapsed="false">
      <c r="D3" s="48"/>
      <c r="E3" s="157" t="s">
        <v>768</v>
      </c>
      <c r="F3" s="157" t="s">
        <v>769</v>
      </c>
      <c r="G3" s="157" t="s">
        <v>770</v>
      </c>
      <c r="H3" s="157" t="s">
        <v>771</v>
      </c>
      <c r="I3" s="157" t="s">
        <v>772</v>
      </c>
      <c r="R3" s="15"/>
    </row>
    <row r="4" customFormat="false" ht="12.75" hidden="false" customHeight="false" outlineLevel="0" collapsed="false">
      <c r="A4" s="159" t="s">
        <v>773</v>
      </c>
      <c r="D4" s="48"/>
      <c r="E4" s="48"/>
      <c r="F4" s="157" t="s">
        <v>723</v>
      </c>
      <c r="G4" s="157" t="s">
        <v>759</v>
      </c>
      <c r="H4" s="157" t="s">
        <v>760</v>
      </c>
      <c r="I4" s="160" t="n">
        <v>0</v>
      </c>
      <c r="O4" s="101" t="s">
        <v>710</v>
      </c>
      <c r="P4" s="101"/>
      <c r="Q4" s="161" t="s">
        <v>774</v>
      </c>
      <c r="R4" s="161" t="s">
        <v>712</v>
      </c>
      <c r="S4" s="101" t="s">
        <v>775</v>
      </c>
      <c r="T4" s="101"/>
      <c r="U4" s="101"/>
      <c r="V4" s="101"/>
      <c r="W4" s="101"/>
      <c r="X4" s="101"/>
      <c r="Y4" s="148"/>
      <c r="Z4" s="148"/>
      <c r="AA4" s="148"/>
      <c r="AB4" s="148"/>
    </row>
    <row r="5" customFormat="false" ht="12.75" hidden="false" customHeight="true" outlineLevel="0" collapsed="false">
      <c r="A5" s="162" t="n">
        <f aca="false">MAX($C$15:$C$59)</f>
        <v>2</v>
      </c>
      <c r="B5" s="48"/>
      <c r="C5" s="48"/>
      <c r="D5" s="48"/>
      <c r="E5" s="48"/>
      <c r="F5" s="160" t="n">
        <f aca="false">IF(BDI.Opcao="DESONERADO",BDI!$S$30,BDI!$S$29)</f>
        <v>0.25</v>
      </c>
      <c r="G5" s="160" t="n">
        <f aca="false">IF(BDI.Opcao="DESONERADO",BDI!$S$70,BDI!$S$69)</f>
        <v>0</v>
      </c>
      <c r="H5" s="160" t="n">
        <f aca="false">IF(BDI.Opcao="DESONERADO",BDI!$S$110,BDI!$S$109)</f>
        <v>0</v>
      </c>
      <c r="I5" s="48"/>
      <c r="O5" s="102" t="n">
        <f aca="false">Import.CR</f>
        <v>0</v>
      </c>
      <c r="P5" s="102"/>
      <c r="Q5" s="163" t="n">
        <f aca="false">Import.TransfereGOV</f>
        <v>0</v>
      </c>
      <c r="R5" s="164" t="str">
        <f aca="false">Import.Proponente</f>
        <v>PREFEITURA MUNICIPAL DE TRAMANDAI</v>
      </c>
      <c r="S5" s="102" t="str">
        <f aca="false">Import.Apelido</f>
        <v>REVITALAIZAÇÃO DA ORLA DA BEIRA RIO</v>
      </c>
      <c r="T5" s="102"/>
      <c r="U5" s="102"/>
      <c r="V5" s="102"/>
      <c r="W5" s="102"/>
      <c r="X5" s="102"/>
      <c r="Y5" s="165"/>
      <c r="Z5" s="165"/>
      <c r="AA5" s="165"/>
      <c r="AB5" s="165"/>
      <c r="AE5" s="157" t="s">
        <v>137</v>
      </c>
      <c r="AF5" s="157"/>
    </row>
    <row r="6" customFormat="false" ht="4.5" hidden="false" customHeight="true" outlineLevel="0" collapsed="false">
      <c r="A6" s="48"/>
      <c r="B6" s="48"/>
      <c r="C6" s="48"/>
      <c r="D6" s="48"/>
      <c r="E6" s="48"/>
      <c r="F6" s="48"/>
      <c r="G6" s="48"/>
      <c r="H6" s="166"/>
      <c r="I6" s="48"/>
      <c r="O6" s="167"/>
      <c r="P6" s="167"/>
      <c r="Q6" s="168"/>
      <c r="R6" s="168"/>
      <c r="S6" s="167"/>
      <c r="T6" s="167"/>
      <c r="U6" s="167"/>
      <c r="V6" s="167"/>
      <c r="W6" s="167"/>
      <c r="X6" s="167"/>
      <c r="Y6" s="165"/>
      <c r="Z6" s="165"/>
      <c r="AA6" s="165"/>
      <c r="AB6" s="165"/>
      <c r="AC6" s="169"/>
      <c r="AE6" s="170"/>
      <c r="AF6" s="171"/>
    </row>
    <row r="7" customFormat="false" ht="12.75" hidden="false" customHeight="true" outlineLevel="0" collapsed="false">
      <c r="D7" s="48"/>
      <c r="E7" s="48"/>
      <c r="F7" s="157" t="s">
        <v>776</v>
      </c>
      <c r="G7" s="157" t="s">
        <v>777</v>
      </c>
      <c r="H7" s="157" t="s">
        <v>516</v>
      </c>
      <c r="I7" s="157" t="s">
        <v>778</v>
      </c>
      <c r="O7" s="101" t="s">
        <v>779</v>
      </c>
      <c r="P7" s="101"/>
      <c r="Q7" s="161" t="s">
        <v>780</v>
      </c>
      <c r="R7" s="161" t="str">
        <f aca="false" t="array" ref="R7:R7">IF(TIPOORCAMENTO="Licitado","NOME DA EMPRESA","DESCRIÇÃO DO LOTE")</f>
        <v>DESCRIÇÃO DO LOTE</v>
      </c>
      <c r="S7" s="172" t="str">
        <f aca="false" t="array" ref="S7:S7">IF(TIPOORCAMENTO="Licitado","REGIME DE EXECUÇÃO","MUNICÍPIO / UF")</f>
        <v>MUNICÍPIO / UF</v>
      </c>
      <c r="T7" s="172"/>
      <c r="U7" s="172"/>
      <c r="V7" s="173" t="str">
        <f aca="false" t="array" ref="V7:V7">IF(TIPOORCAMENTO="Licitado","","BDI 1")</f>
        <v>BDI 1</v>
      </c>
      <c r="W7" s="173" t="str">
        <f aca="false" t="array" ref="W7:W7">IF(TIPOORCAMENTO="Licitado","","BDI 2")</f>
        <v>BDI 2</v>
      </c>
      <c r="X7" s="174" t="str">
        <f aca="false" t="array" ref="X7:X7">IF(TIPOORCAMENTO="Licitado","Nº CTEF","BDI 3")</f>
        <v>BDI 3</v>
      </c>
      <c r="Y7" s="173"/>
      <c r="Z7" s="173"/>
      <c r="AC7" s="109" t="str">
        <f aca="false">IF(COUNTIFS($L$15:$L$59,"F",$AC$15:$AC$59,"JUSTIFICAR BDI")&gt;0,"JUSTIFICAR BDI","")</f>
        <v/>
      </c>
      <c r="AE7" s="170" t="s">
        <v>781</v>
      </c>
      <c r="AF7" s="175" t="b">
        <f aca="false">TRUE()</f>
        <v>1</v>
      </c>
      <c r="AJ7" s="176" t="s">
        <v>782</v>
      </c>
      <c r="AL7" s="177" t="s">
        <v>783</v>
      </c>
    </row>
    <row r="8" customFormat="false" ht="12.75" hidden="false" customHeight="true" outlineLevel="0" collapsed="false">
      <c r="A8" s="48"/>
      <c r="B8" s="48"/>
      <c r="C8" s="48"/>
      <c r="E8" s="178" t="s">
        <v>784</v>
      </c>
      <c r="F8" s="179" t="str">
        <f aca="true" t="array" ref="F8:F8">IF(LEN(INFO("release"))&gt;5,"'Referência "&amp;Excel_BuiltIn_Database&amp;".xlsm'#Banco.$a5:$a$65536","'[Referência "&amp;Excel_BuiltIn_Database&amp;".xlsm]Banco'!$a5:$a$65536")</f>
        <v>'Referência 01-2026.xlsm'#Banco.$a5:$a$65536</v>
      </c>
      <c r="G8" s="179"/>
      <c r="H8" s="179"/>
      <c r="I8" s="179"/>
      <c r="J8" s="179"/>
      <c r="K8" s="179"/>
      <c r="L8" s="103" t="s">
        <v>715</v>
      </c>
      <c r="O8" s="102" t="str">
        <f aca="true" t="array" ref="O8:O8">IF(ISERROR(INDIRECT($F$9)),"(N/D: 'Referência "&amp;Excel_BuiltIn_Database&amp;".xlsm)",INDIRECT($F$9))</f>
        <v>(N/D: 'Referência 01-2026.xlsm)</v>
      </c>
      <c r="P8" s="102"/>
      <c r="Q8" s="180" t="str">
        <f aca="true" t="array" ref="Q8:Q8">TEXT(Import.DataBase,"mm-aa")&amp;IF(DESONERACAO="Sim"," (DES.)"," (N DES.)")</f>
        <v>01-26 (DES.)</v>
      </c>
      <c r="R8" s="164" t="n">
        <f aca="false">IF(TIPOORCAMENTO="Licitado",Import.empresa,Import.DescLote)</f>
        <v>0</v>
      </c>
      <c r="S8" s="181" t="str">
        <f aca="true" t="array" ref="S8:S8">IF(TIPOORCAMENTO="Licitado",Import.RegimeExecução,Import.Município)</f>
        <v>TRAMANDAI/RS</v>
      </c>
      <c r="T8" s="181"/>
      <c r="U8" s="181"/>
      <c r="V8" s="182" t="str">
        <f aca="false" t="array" ref="V8:V8">IF(TIPOORCAMENTO="Licitado","",TEXT(F5,"0,00%"))</f>
        <v>25,00%</v>
      </c>
      <c r="W8" s="182" t="str">
        <f aca="false" t="array" ref="W8:W8">IF(TIPOORCAMENTO="Licitado","",TEXT(G5,"0,00%"))</f>
        <v>0,00%</v>
      </c>
      <c r="X8" s="183" t="str">
        <f aca="false" t="array" ref="X8:X8">IF(TIPOORCAMENTO="Licitado",Import.CTEF,TEXT(H5,"0,00%"))</f>
        <v>0,00%</v>
      </c>
      <c r="Y8" s="103" t="s">
        <v>785</v>
      </c>
      <c r="Z8" s="103" t="s">
        <v>786</v>
      </c>
      <c r="AA8" s="184"/>
      <c r="AB8" s="184"/>
      <c r="AE8" s="170" t="s">
        <v>787</v>
      </c>
      <c r="AF8" s="175" t="b">
        <f aca="false">TRUE()</f>
        <v>1</v>
      </c>
      <c r="AJ8" s="176"/>
      <c r="AL8" s="177"/>
    </row>
    <row r="9" customFormat="false" ht="12.75" hidden="false" customHeight="true" outlineLevel="0" collapsed="false">
      <c r="E9" s="178" t="s">
        <v>788</v>
      </c>
      <c r="F9" s="179" t="str">
        <f aca="true" t="array" ref="F9:F9">IF(LEN(INFO("release"))&gt;5,"'Referência "&amp;Excel_BuiltIn_Database&amp;".xlsm'#Banco.$d$3","'[Referência "&amp;Excel_BuiltIn_Database&amp;".xlsm]Banco'!$d$3")</f>
        <v>'Referência 01-2026.xlsm'#Banco.$d$3</v>
      </c>
      <c r="G9" s="179"/>
      <c r="H9" s="179"/>
      <c r="I9" s="179"/>
      <c r="J9" s="179"/>
      <c r="K9" s="179"/>
      <c r="L9" s="103"/>
      <c r="T9" s="185" t="str">
        <f aca="false">IF(AND(Import.TipoArredondamento="TransfereGOV",$AF$7=FALSE()),"▼","")</f>
        <v/>
      </c>
      <c r="U9" s="185" t="str">
        <f aca="false">IF(AND(Import.TipoArredondamento="TransfereGOV",$AF$8=FALSE()),"▼","")</f>
        <v/>
      </c>
      <c r="V9" s="185" t="str">
        <f aca="false">IF(AND(Import.TipoArredondamento="TransfereGOV",$AF$9=FALSE()),"▼","")</f>
        <v/>
      </c>
      <c r="W9" s="185" t="str">
        <f aca="false">IF(AND(Import.TipoArredondamento="TransfereGOV",$AF$10=FALSE()),"▼","")</f>
        <v/>
      </c>
      <c r="X9" s="185" t="str">
        <f aca="false">IF(AND(Import.TipoArredondamento="TransfereGOV",$AF$11=FALSE()),"▼","")</f>
        <v/>
      </c>
      <c r="Y9" s="103"/>
      <c r="Z9" s="103"/>
      <c r="AE9" s="170" t="s">
        <v>23</v>
      </c>
      <c r="AF9" s="175" t="b">
        <f aca="false">TRUE()</f>
        <v>1</v>
      </c>
      <c r="AJ9" s="176"/>
      <c r="AL9" s="177"/>
    </row>
    <row r="10" customFormat="false" ht="12.75" hidden="false" customHeight="false" outlineLevel="0" collapsed="false">
      <c r="E10" s="178" t="s">
        <v>789</v>
      </c>
      <c r="F10" s="179" t="str">
        <f aca="true" t="array" ref="F10:F10">IF(LEN(INFO("release"))&gt;5,"'Referência "&amp;Excel_BuiltIn_Database&amp;".xlsm'#Banco.$B$3","'[Referência "&amp;Excel_BuiltIn_Database&amp;".xlsm]Banco'!$B$3")</f>
        <v>'Referência 01-2026.xlsm'#Banco.$B$3</v>
      </c>
      <c r="G10" s="179"/>
      <c r="H10" s="179"/>
      <c r="I10" s="179"/>
      <c r="J10" s="179"/>
      <c r="K10" s="179"/>
      <c r="L10" s="103"/>
      <c r="Y10" s="103"/>
      <c r="Z10" s="103"/>
      <c r="AC10" s="186" t="s">
        <v>790</v>
      </c>
      <c r="AE10" s="170" t="s">
        <v>791</v>
      </c>
      <c r="AF10" s="175" t="b">
        <f aca="false">TRUE()</f>
        <v>1</v>
      </c>
      <c r="AJ10" s="176"/>
      <c r="AL10" s="177"/>
    </row>
    <row r="11" customFormat="false" ht="12.75" hidden="false" customHeight="false" outlineLevel="0" collapsed="false">
      <c r="F11" s="170" t="str">
        <f aca="true" t="array" ref="F11:F11">IFERROR(INDIRECT(F10),"")</f>
        <v/>
      </c>
      <c r="G11" s="187" t="str">
        <f aca="true" t="array" ref="G11:G11">IFERROR(TEXT(Import.DataBase,"mm/aaaa"),"")</f>
        <v>01/2026</v>
      </c>
      <c r="H11" s="188"/>
      <c r="L11" s="103"/>
      <c r="Y11" s="103"/>
      <c r="Z11" s="103"/>
      <c r="AC11" s="189" t="str">
        <f aca="false">IF(COUNTIFS($L$15:$L$59,"F",$AC$15:$AC$59,"&lt;&gt;"&amp;" ",$AC$15:$AC$59,"&lt;&gt;"&amp;"JUSTIFICAR BDI")&gt;0,"NÃO OK","OK")</f>
        <v>OK</v>
      </c>
      <c r="AE11" s="170" t="s">
        <v>792</v>
      </c>
      <c r="AF11" s="175" t="b">
        <f aca="false">TRUE()</f>
        <v>1</v>
      </c>
      <c r="AJ11" s="176"/>
      <c r="AL11" s="177"/>
    </row>
    <row r="12" customFormat="false" ht="19.5" hidden="false" customHeight="true" outlineLevel="0" collapsed="false">
      <c r="G12" s="190"/>
      <c r="H12" s="190"/>
      <c r="L12" s="103"/>
      <c r="O12" s="191" t="str">
        <f aca="true" t="array" ref="O12:O12">IF(AND(Import.TipoArredondamento="TransfereGOV",COUNTIF($AF$7:$AF$11,TRUE())&lt;&gt;5),"Para contratos que tramitam no Transferegov todos os valores devem ser arredondados para duas casas decimais",
 IF(AND($F$11&lt;&gt;"",$G$11&lt;&gt;"",$F$11&lt;&gt;$G$11),"O arquivo "&amp;MID($F$10,2,SEARCH("]",$F$10)-1)&amp;" está com a data base errada ("&amp;F11&amp;"). Corrija a data base antes de continuar.",
IF(COUNTIF($AC$15:$AC$59,"FONTE")&gt;0,"Falta preencher a Fonte (coluna P) na Linha "&amp;(14+MATCH("FONTE",$AC$15:$AC$59,0)),
 IF(COUNTIF($AC$15:$AC$59,"CÓDIGO")&gt;0,"Falta preencher o Código (coluna Q) na Linha "&amp;(14+MATCH("CÓDIGO",$AC$15:$AC$59,0)),
 IF(COUNTIF($AC$15:$AC$59,"CÓDIGO N/ID")&gt;0,"Código (coluna Q) não identificado na Linha "&amp;(14+MATCH("CÓDIGO N/ID",$AC$15:$AC$59,0))&amp;". Verifique se o código está correto ou busque outro código",
 IF(COUNTIF($AC$15:$AC$59,"DESCRIÇÃO")&gt;0,"Falta preencher a Descrição (coluna R) na Linha "&amp;(14+MATCH("DESCRIÇÃO",$AC$15:$AC$59,0)),
 IF(COUNTIF($AC$15:$AC$59,"UNIDADE")&gt;0,"Falta preencher a Unidade (coluna S) na Linha "&amp;(14+MATCH("UNIDADE",$AC$15:$AC$59,0)),
 IF(COUNTIF($AC$15:$AC$59,"SEM CUSTO")&gt;0,"Falta preencher o Custo Unitário (coluna U) na Linha "&amp;(14+MATCH("SEM CUSTO",$AC$15:$AC$59,0)),
 IF(COUNTIF($AC$15:$AC$59,"SEM PREÇO")&gt;0,"Falta preencher o Preço Unitário licitado (coluna AL) na Linha "&amp;(14+MATCH("SEM CUSTO",$AC$15:$AC$59,0)),
 IF(COUNTIF($AC$15:$AC$59,"BDI")&gt;0,"Falta definir o BDI (coluna V) na Linha "&amp;(14+MATCH("BDI",$AC$15:$AC$59,0)),
 IF(COUNTIF($AC$15:$AC$59,"ACIMA REF.")&gt;0,
         IF(TIPOORCAMENTO="Proposto","O custo unitário (coluna U) na Linha "&amp;(14+MATCH("ACIMA REF.",$AC$15:$AC$59,0))&amp;" está acima do custo referencial (coluna AG)",
            "O preço unitário licitado (coluna AL) na Linha "&amp;(14+MATCH("ACIMA REF.",$AC$15:$AC$59,0))&amp;" está acima do preço referencial do edital (coluna AN)"),
 IF(COUNTIF($AC$15:$AC$59,"QUANT.")&gt;0,"Falta a Quantidade do serviço na Linha "&amp;(14+MATCH("QUANT.",$AC$15:$AC$59,0))&amp;IF(ACOMPANHAMENTO="PLE",". Preencher na aba CÁLCULO",". Preencher na coluna AJ"),
 IF(COUNTIF($AC$15:$AC$59,"Código &gt;13")&gt;0,"O tamanho do código do serviço no TransfereGOV é limitado a 13 caracteres. Resuma o código (coluna Q) na Linha "&amp;(14+MATCH("Código &gt;13",$AC$15:$AC$59,0)),
 IF(COUNTIF($AC$15:$AC$59,"Descrição &gt;100")&gt;0,"O tamanho da descrição de macrosserviço no TransfereGOV é limitado a 100 caracteres. Resuma a descrição (coluna R) na Linha "&amp;(14+MATCH("Descrição &gt;100",$AC$15:$AC$59,0)),
 IF(COUNTIF($AC$15:$AC$59,"Descrição &gt;500")&gt;0,"O tamanho da descrição de serviço no TransfereGOV é limitado a 500 caracteres. Resuma a descrição (coluna R) na Linha "&amp;(14+MATCH("Descrição &gt;500",$AC$15:$AC$59,0)),
 IF(COUNTIF($AC$15:$AC$59,"Unid. Não Disp")&gt;0,"Unidade não disponível na lista do TransfereGOV. Reveja a unidade (coluna S) na Linha "&amp;(14+MATCH("Unid. Não Disp",$AC$15:$AC$59,0)),
 IF(AND(TIPOORCAMENTO="Proposto",LEFT($O$8,5)="(N/D:"),"Abra o arquivo Referência "&amp;Excel_BuiltIn_Database&amp;".xlsm","")))))))))))))))))</f>
        <v>Código (coluna Q) não identificado na Linha 18. Verifique se o código está correto ou busque outro código</v>
      </c>
      <c r="Y12" s="103"/>
      <c r="Z12" s="103"/>
      <c r="AA12" s="192" t="s">
        <v>793</v>
      </c>
      <c r="AB12" s="192"/>
      <c r="AJ12" s="110" t="s">
        <v>720</v>
      </c>
      <c r="AL12" s="193" t="s">
        <v>720</v>
      </c>
    </row>
    <row r="13" customFormat="false" ht="34.5" hidden="false" customHeight="true" outlineLevel="0" collapsed="false">
      <c r="A13" s="194" t="s">
        <v>794</v>
      </c>
      <c r="B13" s="194" t="s">
        <v>795</v>
      </c>
      <c r="C13" s="194" t="s">
        <v>796</v>
      </c>
      <c r="D13" s="194" t="s">
        <v>797</v>
      </c>
      <c r="E13" s="194" t="s">
        <v>798</v>
      </c>
      <c r="F13" s="194" t="s">
        <v>799</v>
      </c>
      <c r="G13" s="194" t="s">
        <v>800</v>
      </c>
      <c r="H13" s="194" t="s">
        <v>801</v>
      </c>
      <c r="I13" s="194" t="s">
        <v>802</v>
      </c>
      <c r="J13" s="194" t="s">
        <v>803</v>
      </c>
      <c r="K13" s="194" t="s">
        <v>804</v>
      </c>
      <c r="L13" s="110" t="s">
        <v>720</v>
      </c>
      <c r="M13" s="194" t="s">
        <v>805</v>
      </c>
      <c r="N13" s="195" t="s">
        <v>806</v>
      </c>
      <c r="O13" s="194" t="s">
        <v>807</v>
      </c>
      <c r="P13" s="194" t="s">
        <v>808</v>
      </c>
      <c r="Q13" s="194" t="s">
        <v>809</v>
      </c>
      <c r="R13" s="194" t="s">
        <v>161</v>
      </c>
      <c r="S13" s="196" t="s">
        <v>810</v>
      </c>
      <c r="T13" s="194" t="s">
        <v>781</v>
      </c>
      <c r="U13" s="194" t="str">
        <f aca="false" t="array" ref="U13:U13">IF(TIPOORCAMENTO="Licitado","","Custo Unitário (sem BDI) (R$)")</f>
        <v>Custo Unitário (sem BDI) (R$)</v>
      </c>
      <c r="V13" s="194" t="str">
        <f aca="false" t="array" ref="V13:V13">IF(TIPOORCAMENTO="Licitado","","BDI
(%)")</f>
        <v>BDI
(%)</v>
      </c>
      <c r="W13" s="194" t="s">
        <v>811</v>
      </c>
      <c r="X13" s="194" t="s">
        <v>812</v>
      </c>
      <c r="Y13" s="110" t="s">
        <v>720</v>
      </c>
      <c r="Z13" s="110" t="s">
        <v>720</v>
      </c>
      <c r="AA13" s="197" t="s">
        <v>813</v>
      </c>
      <c r="AB13" s="198" t="s">
        <v>814</v>
      </c>
      <c r="AC13" s="194" t="s">
        <v>815</v>
      </c>
      <c r="AD13" s="199" t="s">
        <v>816</v>
      </c>
      <c r="AE13" s="199" t="s">
        <v>817</v>
      </c>
      <c r="AF13" s="199" t="s">
        <v>818</v>
      </c>
      <c r="AG13" s="200" t="s">
        <v>819</v>
      </c>
      <c r="AH13" s="201" t="str">
        <f aca="false" t="array" ref="AH13:AH13">IF(TIPOORCAMENTO="LICITADO","Valor BDI Edital","Valor BDI")</f>
        <v>Valor BDI</v>
      </c>
      <c r="AJ13" s="202" t="s">
        <v>781</v>
      </c>
      <c r="AL13" s="202" t="s">
        <v>811</v>
      </c>
      <c r="AM13" s="200" t="s">
        <v>820</v>
      </c>
      <c r="AN13" s="203" t="s">
        <v>821</v>
      </c>
    </row>
    <row r="14" customFormat="false" ht="12.75" hidden="true" customHeight="false" outlineLevel="0" collapsed="false">
      <c r="A14" s="0" t="str">
        <f aca="false">CHOOSE(1+LOG(1+2*(ORÇAMENTO.Nivel="Meta")+4*(ORÇAMENTO.Nivel="Nível 2")+8*(ORÇAMENTO.Nivel="Nível 3")+16*(ORÇAMENTO.Nivel="Nível 4")+32*(ORÇAMENTO.Nivel="Serviço"),2),0,1,2,3,4,"S")</f>
        <v>S</v>
      </c>
      <c r="B14" s="0" t="str">
        <f aca="true">IF(OR(C14="s",C14=0),OFFSET(B14,-1,0),C14)</f>
        <v>Save Nivel</v>
      </c>
      <c r="C14" s="0" t="str">
        <f aca="true">IF(OFFSET(C14,-1,0)="L",1,IF(OFFSET(C14,-1,0)=1,2,IF(OR(A14="s",A14=0),"S",IF(AND(OFFSET(C14,-1,0)=2,A14=4),3,IF(AND(OR(OFFSET(C14,-1,0)="s",OFFSET(C14,-1,0)=0),A14&lt;&gt;"s",A14&gt;OFFSET(B14,-1,0)),OFFSET(B14,-1,0),A14)))))</f>
        <v>S</v>
      </c>
      <c r="D14" s="0" t="n">
        <f aca="false">IF(OR(C14="S",C14=0),0,IF(ISERROR(K14),J14,SMALL(J14:K14,1)))</f>
        <v>0</v>
      </c>
      <c r="E14" s="0" t="str">
        <f aca="true">IF($C14=1,OFFSET(E14,-1,0)+MAX(1,COUNTIF(QCI!$A$13:$A$24,OFFSET(ORÇAMENTO!E14,-1,0))),OFFSET(E14,-1,0))</f>
        <v>n1</v>
      </c>
      <c r="F14" s="0" t="str">
        <f aca="true">IF($C14=1,0,IF($C14=2,OFFSET(F14,-1,0)+1,OFFSET(F14,-1,0)))</f>
        <v>n2</v>
      </c>
      <c r="G14" s="0" t="str">
        <f aca="true">IF(AND($C14&lt;=2,$C14&lt;&gt;0),0,IF($C14=3,OFFSET(G14,-1,0)+1,OFFSET(G14,-1,0)))</f>
        <v>n3</v>
      </c>
      <c r="H14" s="0" t="str">
        <f aca="true">IF(AND($C14&lt;=3,$C14&lt;&gt;0),0,IF($C14=4,OFFSET(H14,-1,0)+1,OFFSET(H14,-1,0)))</f>
        <v>n4</v>
      </c>
      <c r="I14" s="0" t="str">
        <f aca="true">IF(AND($C14&lt;=4,$C14&lt;&gt;0),0,IF(AND($C14="S",$X14&gt;0),OFFSET(I14,-1,0)+1,OFFSET(I14,-1,0)))</f>
        <v>n5</v>
      </c>
      <c r="J14" s="0" t="n">
        <f aca="true">IF(OR($C14="S",$C14=0),0,MATCH(0,OFFSET($D14,1,$C14,ROW($C$59)-ROW($C14)),0))</f>
        <v>0</v>
      </c>
      <c r="K14" s="0" t="n">
        <f aca="true">IF(OR($C14="S",$C14=0),0,MATCH(OFFSET($D14,0,$C14)+IF($C14&lt;&gt;1,1,COUNTIF(QCI!$A$13:$A$24,ORÇAMENTO!E14)),OFFSET($D14,1,$C14,ROW($C$59)-ROW($C14)),0))</f>
        <v>0</v>
      </c>
      <c r="L14" s="204" t="str">
        <f aca="false">IF(OR($X14&gt;0,$C14=1,$C14=2,$C14=3,$C14=4),"F","")</f>
        <v/>
      </c>
      <c r="M14" s="205" t="s">
        <v>767</v>
      </c>
      <c r="N14" s="206" t="str">
        <f aca="false">CHOOSE(1+LOG(1+2*(C14=1)+4*(C14=2)+8*(C14=3)+16*(C14=4)+32*(C14="S"),2),"","Meta","Nível 2","Nível 3","Nível 4","Serviço")</f>
        <v>Serviço</v>
      </c>
      <c r="O14" s="207" t="str">
        <f aca="false">IF(OR($C14=0,$L14=""),"-",CONCATENATE(E14&amp;".",IF(AND($A$5&gt;=2,$C14&gt;=2),F14&amp;".",""),IF(AND($A$5&gt;=3,$C14&gt;=3),G14&amp;".",""),IF(AND($A$5&gt;=4,$C14&gt;=4),H14&amp;".",""),IF($C14="S",I14&amp;".","")))</f>
        <v>-</v>
      </c>
      <c r="P14" s="208" t="s">
        <v>768</v>
      </c>
      <c r="Q14" s="209"/>
      <c r="R14" s="210" t="str">
        <f aca="true" t="array" ref="R14:R14">IF($C14="S",REFERENCIA.Descricao,"(digite a descrição aqui)")</f>
        <v>(Sem Código)</v>
      </c>
      <c r="S14" s="211" t="str">
        <f aca="true" t="array" ref="S14:S14">REFERENCIA.Unidade</f>
        <v>-</v>
      </c>
      <c r="T14" s="212" t="n">
        <f aca="true">OFFSET(CÁLCULO!H$15,ROW($T14)-ROW(T$15),0)</f>
        <v>0</v>
      </c>
      <c r="U14" s="213"/>
      <c r="V14" s="214" t="s">
        <v>723</v>
      </c>
      <c r="W14" s="212" t="n">
        <f aca="false" t="array" ref="W14:W14">IF($C14="S",ROUND(IF(TIPOORCAMENTO="Proposto",ORÇAMENTO.CustoUnitario*(1+$AH14),ORÇAMENTO.PrecoUnitarioLicitado),15-13*$AF$10),0)</f>
        <v>0</v>
      </c>
      <c r="X14" s="215" t="n">
        <f aca="true" t="array" ref="X14:X14">IF($C14="S",IF(OR(Import.TipoArredondamento&lt;&gt;"TransfereGOV",ACOMPANHAMENTO="BM"),VTOTAL1,SUM(OFFSET(CÁLCULO!$AA$15,ROW($X14)-ROW($X$15),1):OFFSET(CÁLCULO!$AL$15,ROW($X14)-ROW($X$15),-1))),IF($C14=0,0,ROUND(SomaAgrup,15-13*$AF$11)))</f>
        <v>0</v>
      </c>
      <c r="Y14" s="216" t="s">
        <v>776</v>
      </c>
      <c r="Z14" s="0" t="str">
        <f aca="false">IF(AND($C14="S",$X14&gt;0),IF(ISBLANK($Y14),"RA",LEFT($Y14,2)),"")</f>
        <v/>
      </c>
      <c r="AA14" s="217" t="n">
        <f aca="true" t="array" ref="AA14:AA14">IF($C14="S",IF($Z14="CP",$X14,IF($Z14="RA",(($X14)*QCI!$AA$3),0)),SomaAgrup)</f>
        <v>0</v>
      </c>
      <c r="AB14" s="218" t="n">
        <f aca="true" t="array" ref="AB14:AB14">IF($C14="S",IF($Z14="OU",ROUND($X14,2),0),SomaAgrup)</f>
        <v>0</v>
      </c>
      <c r="AC14" s="219" t="str">
        <f aca="false" t="array" ref="AC14:AC14">IF($N14=""," ",
IF(AND($C14&lt;&gt;"S",OR($R14="",$R14="(digite a descrição aqui)")),"DESCRIÇÃO",
IF(AND($C14="S",OR($Q14&lt;&gt;"",$T14&gt;0,$U14&gt;0),$P14=""),"FONTE",
IF(AND($C14="S",$P14&lt;&gt;"",OR($T14&gt;0,$U14&gt;0),$Q14=""),"CÓDIGO",
IF(AND($C14="S",$P14&lt;&gt;"",$Q14&lt;&gt;"",$R14="(Código não identificado nas referências)"),"CÓDIGO N/ID",
IF(AND($C14="S",OR($R14="",$R14="(digite a descrição aqui)"),OR($Q14&lt;&gt;"",$T14&gt;0,$U14&gt;0)),"DESCRIÇÃO",
IF(AND($C14="S",$P14&lt;&gt;"",$Q14&lt;&gt;"",$S14=""),"UNIDADE",
IF(AND($C14="S",$P14&lt;&gt;"",$Q14&lt;&gt;"",$U14=0),"SEM CUSTO",
IF(AND(TIPOORCAMENTO="Licitado",$AL14=0,$AN14&gt;0),"SEM PREÇO",
IF(AND($C14="S",$P14&lt;&gt;"",$Q14&lt;&gt;"",$U14&gt;0,AND($V14&lt;&gt;"BDI 1",$V14&lt;&gt;"BDI 2",$V14&lt;&gt;"BDI 3")),IF(ISNUMBER($V14),"JUSTIFICAR BDI","BDI"),
IF(OR(AND(import.recurso="OGU",TIPOORCAMENTO="Proposto",LEFT($O$8,5)&lt;&gt;"(N/D:",$AG14&lt;&gt;"",ORÇAMENTO.CustoUnitario&gt;$AG14),AND(TIPOORCAMENTO="LICITADO",ORÇAMENTO.PrecoUnitarioLicitado&gt;$AN14)),"ACIMA REF.",
IF(AND($C14="S",$P14&lt;&gt;"",$Q14&lt;&gt;"",$T14=0,$U14&gt;0),"QUANT.",
IF(AND(Import.TipoArredondamento="TransfereGOV",$L14="F",$C14="S",LEN($Q14)&gt;13),"Código &gt;13",
IF(AND(Import.TipoArredondamento="TransfereGOV",$L14="F",$C14&lt;&gt;"S",LEN($R14)&gt;100),"Descrição &gt;100",
IF(AND(Import.TipoArredondamento="TransfereGOV",$L14="F",$C14="S",LEN($R14)&gt;500),"Descrição &gt;500",
IF(AND(Import.TipoArredondamento="TransfereGOV",$L14="F",$C14="S",LEFT(TRIM(UPPER($P14)),6)&lt;&gt;"SINAPI",ISNA(VLOOKUP(TRIM(UPPER($S14)),ListaTgov.Unidades,1,FALSE()))),"Unid. Não Disp",
" "))))))))))))))))</f>
        <v> </v>
      </c>
      <c r="AD14" s="0" t="str">
        <f aca="true">IF(C14&lt;=CRONO.NivelExibicao,MAX($AD$15:OFFSET(AD14,-1,0))+IF($C14&lt;&gt;1,1,MAX(1,COUNTIF(QCI!$A$13:$A$24,OFFSET($E14,-1,0)))),"")</f>
        <v/>
      </c>
      <c r="AE14" s="48" t="n">
        <f aca="false" t="array" ref="AE14:AE14">IF(AND($C14="S",ORÇAMENTO.CodBarra&lt;&gt;""),IF(ORÇAMENTO.Fonte="",ORÇAMENTO.CodBarra,CONCATENATE(ORÇAMENTO.Fonte," ",ORÇAMENTO.CodBarra)))</f>
        <v>0</v>
      </c>
      <c r="AF14" s="63" t="str">
        <f aca="true" t="array" ref="AF14:AF14">IF(ISERROR(ORÇAMENTO.BancoRef),"(abra o arquivo 'Referência "&amp;Excel_BuiltIn_Database&amp;".xlsm)",IF(OR($C14&lt;&gt;"S",ORÇAMENTO.CodBarra=""),"(Sem Código)",IF(ISERROR(MATCH($AE14,INDIRECT(ORÇAMENTO.BancoRef),0)),"(Código não identificado nas referências)",MATCH($AE14,INDIRECT(ORÇAMENTO.BancoRef),0))))</f>
        <v>(Sem Código)</v>
      </c>
      <c r="AG14" s="220" t="n">
        <f aca="true" t="array" ref="AG14:AG14">ROUND(IF(DESONERACAO="sim",REFERENCIA.Desonerado,REFERENCIA.NaoDesonerado),2)</f>
        <v>0</v>
      </c>
      <c r="AH14" s="221" t="n">
        <f aca="false">ROUND(IF(ISNUMBER(ORÇAMENTO.OpcaoBDI),ORÇAMENTO.OpcaoBDI,IF(LEFT(ORÇAMENTO.OpcaoBDI,3)="BDI",HLOOKUP(ORÇAMENTO.OpcaoBDI,$F$4:$H$5,2,FALSE()),0)),15-11*$AF$9)</f>
        <v>0.25</v>
      </c>
      <c r="AJ14" s="222"/>
      <c r="AL14" s="223"/>
      <c r="AM14" s="224" t="n">
        <f aca="false">$X14</f>
        <v>0</v>
      </c>
      <c r="AN14" s="225" t="n">
        <f aca="false" t="array" ref="AN14:AN14">ROUND(ORÇAMENTO.CustoUnitario*(1+$AH14),2)</f>
        <v>0</v>
      </c>
    </row>
    <row r="15" customFormat="false" ht="12.75" hidden="false" customHeight="true" outlineLevel="0" collapsed="false">
      <c r="A15" s="0" t="n">
        <v>0</v>
      </c>
      <c r="C15" s="0" t="s">
        <v>714</v>
      </c>
      <c r="D15" s="0" t="n">
        <f aca="true">COUNTA(OFFSET(D15,1,0):D$59)</f>
        <v>43</v>
      </c>
      <c r="E15" s="0" t="n">
        <v>0</v>
      </c>
      <c r="L15" s="204" t="s">
        <v>596</v>
      </c>
      <c r="M15" s="226" t="str">
        <f aca="false" t="array" ref="M15:M15">IF(TIPOORCAMENTO="LICITADO","CTEF","LOTE")</f>
        <v>LOTE</v>
      </c>
      <c r="N15" s="226" t="str">
        <f aca="false" t="array" ref="N15:N15">IF(TIPOORCAMENTO="LICITADO","CTEF","LOTE")</f>
        <v>LOTE</v>
      </c>
      <c r="O15" s="227" t="n">
        <f aca="false">Import.DescLote</f>
        <v>0</v>
      </c>
      <c r="P15" s="227"/>
      <c r="Q15" s="227"/>
      <c r="R15" s="227"/>
      <c r="S15" s="228"/>
      <c r="T15" s="229"/>
      <c r="U15" s="229"/>
      <c r="V15" s="230"/>
      <c r="W15" s="229"/>
      <c r="X15" s="231" t="n">
        <f aca="true">SUMIF(OFFSET($C15,1,0,ROW(X59)-ROW(X15)-1),"S",OFFSET(X15,1,0,ROW(X59)-ROW(X15)-1))</f>
        <v>0</v>
      </c>
      <c r="Y15" s="48"/>
      <c r="Z15" s="0" t="str">
        <f aca="false">IF(AND($C15="S",$X15&gt;0),LEFT($Y15,2),"")</f>
        <v/>
      </c>
      <c r="AA15" s="232" t="n">
        <f aca="true">SUMIF(OFFSET($C15,1,0,ROW(AA59)-ROW(AA15)-1),"S",OFFSET(AA15,1,0,ROW(AA59)-ROW(AA15)-1))</f>
        <v>0</v>
      </c>
      <c r="AB15" s="233" t="n">
        <f aca="true">SUMIF(OFFSET($C15,1,0,ROW(AB59)-ROW(AB15)-1),"S",OFFSET(AB15,1,0,ROW(AB59)-ROW(AB15)-1))</f>
        <v>0</v>
      </c>
      <c r="AC15" s="219" t="s">
        <v>822</v>
      </c>
      <c r="AG15" s="234"/>
      <c r="AH15" s="235"/>
      <c r="AJ15" s="236"/>
      <c r="AL15" s="237"/>
      <c r="AM15" s="238" t="n">
        <f aca="false">$X15</f>
        <v>0</v>
      </c>
      <c r="AN15" s="239"/>
    </row>
    <row r="16" customFormat="false" ht="12.75" hidden="false" customHeight="false" outlineLevel="0" collapsed="false">
      <c r="A16" s="0" t="n">
        <f aca="false">CHOOSE(1+LOG(1+2*(ORÇAMENTO.Nivel="Meta")+4*(ORÇAMENTO.Nivel="Nível 2")+8*(ORÇAMENTO.Nivel="Nível 3")+16*(ORÇAMENTO.Nivel="Nível 4")+32*(ORÇAMENTO.Nivel="Serviço"),2),0,1,2,3,4,"S")</f>
        <v>1</v>
      </c>
      <c r="B16" s="0" t="n">
        <f aca="true">IF(OR(C16="s",C16=0),OFFSET(B16,-1,0),C16)</f>
        <v>1</v>
      </c>
      <c r="C16" s="0" t="n">
        <f aca="true">IF(OFFSET(C16,-1,0)="L",1,IF(OFFSET(C16,-1,0)=1,2,IF(OR(A16="s",A16=0),"S",IF(AND(OFFSET(C16,-1,0)=2,A16=4),3,IF(AND(OR(OFFSET(C16,-1,0)="s",OFFSET(C16,-1,0)=0),A16&lt;&gt;"s",A16&gt;OFFSET(B16,-1,0)),OFFSET(B16,-1,0),A16)))))</f>
        <v>1</v>
      </c>
      <c r="D16" s="0" t="n">
        <f aca="false">IF(OR(C16="S",C16=0),0,IF(ISERROR(K16),J16,SMALL(J16:K16,1)))</f>
        <v>43</v>
      </c>
      <c r="E16" s="0" t="n">
        <f aca="true">IF($C16=1,OFFSET(E16,-1,0)+MAX(1,COUNTIF(QCI!$A$13:$A$24,OFFSET(ORÇAMENTO!E16,-1,0))),OFFSET(E16,-1,0))</f>
        <v>1</v>
      </c>
      <c r="F16" s="0" t="n">
        <f aca="true">IF($C16=1,0,IF($C16=2,OFFSET(F16,-1,0)+1,OFFSET(F16,-1,0)))</f>
        <v>0</v>
      </c>
      <c r="G16" s="0" t="n">
        <f aca="true">IF(AND($C16&lt;=2,$C16&lt;&gt;0),0,IF($C16=3,OFFSET(G16,-1,0)+1,OFFSET(G16,-1,0)))</f>
        <v>0</v>
      </c>
      <c r="H16" s="0" t="n">
        <f aca="true">IF(AND($C16&lt;=3,$C16&lt;&gt;0),0,IF($C16=4,OFFSET(H16,-1,0)+1,OFFSET(H16,-1,0)))</f>
        <v>0</v>
      </c>
      <c r="I16" s="0" t="n">
        <f aca="true">IF(AND($C16&lt;=4,$C16&lt;&gt;0),0,IF(AND($C16="S",$X16&gt;0),OFFSET(I16,-1,0)+1,OFFSET(I16,-1,0)))</f>
        <v>0</v>
      </c>
      <c r="J16" s="0" t="n">
        <f aca="true">IF(OR($C16="S",$C16=0),0,MATCH(0,OFFSET($D16,1,$C16,ROW($C$59)-ROW($C16)),0))</f>
        <v>43</v>
      </c>
      <c r="K16" s="0" t="e">
        <f aca="true">IF(OR($C16="S",$C16=0),0,MATCH(OFFSET($D16,0,$C16)+IF($C16&lt;&gt;1,1,COUNTIF(QCI!$A$13:$A$24,ORÇAMENTO!E16)),OFFSET($D16,1,$C16,ROW($C$59)-ROW($C16)),0))</f>
        <v>#N/A</v>
      </c>
      <c r="L16" s="204" t="str">
        <f aca="false">IF(OR($X16&gt;0,$C16=1,$C16=2,$C16=3,$C16=4),"F","")</f>
        <v>F</v>
      </c>
      <c r="M16" s="205" t="s">
        <v>763</v>
      </c>
      <c r="N16" s="206" t="str">
        <f aca="false">CHOOSE(1+LOG(1+2*(C16=1)+4*(C16=2)+8*(C16=3)+16*(C16=4)+32*(C16="S"),2),"","Meta","Nível 2","Nível 3","Nível 4","Serviço")</f>
        <v>Meta</v>
      </c>
      <c r="O16" s="207" t="str">
        <f aca="false">IF(OR($C16=0,$L16=""),"-",CONCATENATE(E16&amp;".",IF(AND($A$5&gt;=2,$C16&gt;=2),F16&amp;".",""),IF(AND($A$5&gt;=3,$C16&gt;=3),G16&amp;".",""),IF(AND($A$5&gt;=4,$C16&gt;=4),H16&amp;".",""),IF($C16="S",I16&amp;".","")))</f>
        <v>1.</v>
      </c>
      <c r="P16" s="208" t="s">
        <v>768</v>
      </c>
      <c r="Q16" s="209"/>
      <c r="R16" s="240" t="s">
        <v>823</v>
      </c>
      <c r="S16" s="211" t="str">
        <f aca="true" t="array" ref="S16:S16">REFERENCIA.Unidade</f>
        <v>-</v>
      </c>
      <c r="T16" s="212" t="n">
        <f aca="true">OFFSET(CÁLCULO!H$15,ROW($T16)-ROW(T$15),0)</f>
        <v>0</v>
      </c>
      <c r="U16" s="213"/>
      <c r="V16" s="214" t="s">
        <v>723</v>
      </c>
      <c r="W16" s="212" t="n">
        <f aca="false" t="array" ref="W16:W16">IF($C16="S",ROUND(IF(TIPOORCAMENTO="Proposto",ORÇAMENTO.CustoUnitario*(1+$AH16),ORÇAMENTO.PrecoUnitarioLicitado),15-13*$AF$10),0)</f>
        <v>0</v>
      </c>
      <c r="X16" s="215" t="n">
        <f aca="true" t="array" ref="X16:X16">IF($C16="S",IF(OR(Import.TipoArredondamento&lt;&gt;"TransfereGOV",ACOMPANHAMENTO="BM"),VTOTAL1,SUM(OFFSET(CÁLCULO!$AA$15,ROW($X16)-ROW($X$15),1):OFFSET(CÁLCULO!$AL$15,ROW($X16)-ROW($X$15),-1))),IF($C16=0,0,ROUND(SomaAgrup,15-13*$AF$11)))</f>
        <v>0</v>
      </c>
      <c r="Y16" s="216" t="s">
        <v>776</v>
      </c>
      <c r="Z16" s="0" t="str">
        <f aca="false">IF(AND($C16="S",$X16&gt;0),IF(ISBLANK($Y16),"RA",LEFT($Y16,2)),"")</f>
        <v/>
      </c>
      <c r="AA16" s="217" t="n">
        <f aca="true" t="array" ref="AA16:AA16">IF($C16="S",IF($Z16="CP",$X16,IF($Z16="RA",(($X16)*QCI!$AA$3),0)),SomaAgrup)</f>
        <v>0</v>
      </c>
      <c r="AB16" s="218" t="n">
        <f aca="true" t="array" ref="AB16:AB16">IF($C16="S",IF($Z16="OU",ROUND($X16,2),0),SomaAgrup)</f>
        <v>0</v>
      </c>
      <c r="AC16" s="219" t="str">
        <f aca="false" t="array" ref="AC16:AC16">IF($N16=""," ",
IF(AND($C16&lt;&gt;"S",OR($R16="",$R16="(digite a descrição aqui)")),"DESCRIÇÃO",
IF(AND($C16="S",OR($Q16&lt;&gt;"",$T16&gt;0,$U16&gt;0),$P16=""),"FONTE",
IF(AND($C16="S",$P16&lt;&gt;"",OR($T16&gt;0,$U16&gt;0),$Q16=""),"CÓDIGO",
IF(AND($C16="S",$P16&lt;&gt;"",$Q16&lt;&gt;"",$R16="(Código não identificado nas referências)"),"CÓDIGO N/ID",
IF(AND($C16="S",OR($R16="",$R16="(digite a descrição aqui)"),OR($Q16&lt;&gt;"",$T16&gt;0,$U16&gt;0)),"DESCRIÇÃO",
IF(AND($C16="S",$P16&lt;&gt;"",$Q16&lt;&gt;"",$S16=""),"UNIDADE",
IF(AND($C16="S",$P16&lt;&gt;"",$Q16&lt;&gt;"",$U16=0),"SEM CUSTO",
IF(AND(TIPOORCAMENTO="Licitado",$AL16=0,$AN16&gt;0),"SEM PREÇO",
IF(AND($C16="S",$P16&lt;&gt;"",$Q16&lt;&gt;"",$U16&gt;0,AND($V16&lt;&gt;"BDI 1",$V16&lt;&gt;"BDI 2",$V16&lt;&gt;"BDI 3")),IF(ISNUMBER($V16),"JUSTIFICAR BDI","BDI"),
IF(OR(AND(import.recurso="OGU",TIPOORCAMENTO="Proposto",LEFT($O$8,5)&lt;&gt;"(N/D:",$AG16&lt;&gt;"",ORÇAMENTO.CustoUnitario&gt;$AG16),AND(TIPOORCAMENTO="LICITADO",ORÇAMENTO.PrecoUnitarioLicitado&gt;$AN16)),"ACIMA REF.",
IF(AND($C16="S",$P16&lt;&gt;"",$Q16&lt;&gt;"",$T16=0,$U16&gt;0),"QUANT.",
IF(AND(Import.TipoArredondamento="TransfereGOV",$L16="F",$C16="S",LEN($Q16)&gt;13),"Código &gt;13",
IF(AND(Import.TipoArredondamento="TransfereGOV",$L16="F",$C16&lt;&gt;"S",LEN($R16)&gt;100),"Descrição &gt;100",
IF(AND(Import.TipoArredondamento="TransfereGOV",$L16="F",$C16="S",LEN($R16)&gt;500),"Descrição &gt;500",
IF(AND(Import.TipoArredondamento="TransfereGOV",$L16="F",$C16="S",LEFT(TRIM(UPPER($P16)),6)&lt;&gt;"SINAPI",ISNA(VLOOKUP(TRIM(UPPER($S16)),ListaTgov.Unidades,1,FALSE()))),"Unid. Não Disp",
" "))))))))))))))))</f>
        <v> </v>
      </c>
      <c r="AD16" s="0" t="n">
        <f aca="true">IF(C16&lt;=CRONO.NivelExibicao,MAX($AD$15:OFFSET(AD16,-1,0))+IF($C16&lt;&gt;1,1,MAX(1,COUNTIF(QCI!$A$13:$A$24,OFFSET($E16,-1,0)))),"")</f>
        <v>1</v>
      </c>
      <c r="AE16" s="48" t="n">
        <f aca="false" t="array" ref="AE16:AE16">IF(AND($C16="S",ORÇAMENTO.CodBarra&lt;&gt;""),IF(ORÇAMENTO.Fonte="",ORÇAMENTO.CodBarra,CONCATENATE(ORÇAMENTO.Fonte," ",ORÇAMENTO.CodBarra)))</f>
        <v>0</v>
      </c>
      <c r="AF16" s="63" t="str">
        <f aca="true" t="array" ref="AF16:AF16">IF(ISERROR(ORÇAMENTO.BancoRef),"(abra o arquivo 'Referência "&amp;Excel_BuiltIn_Database&amp;".xlsm)",IF(OR($C16&lt;&gt;"S",ORÇAMENTO.CodBarra=""),"(Sem Código)",IF(ISERROR(MATCH($AE16,INDIRECT(ORÇAMENTO.BancoRef),0)),"(Código não identificado nas referências)",MATCH($AE16,INDIRECT(ORÇAMENTO.BancoRef),0))))</f>
        <v>(Sem Código)</v>
      </c>
      <c r="AG16" s="220" t="n">
        <f aca="true" t="array" ref="AG16:AG16">ROUND(IF(DESONERACAO="sim",REFERENCIA.Desonerado,REFERENCIA.NaoDesonerado),2)</f>
        <v>0</v>
      </c>
      <c r="AH16" s="221" t="n">
        <f aca="false">ROUND(IF(ISNUMBER(ORÇAMENTO.OpcaoBDI),ORÇAMENTO.OpcaoBDI,IF(LEFT(ORÇAMENTO.OpcaoBDI,3)="BDI",HLOOKUP(ORÇAMENTO.OpcaoBDI,$F$4:$H$5,2,FALSE()),0)),15-11*$AF$9)</f>
        <v>0.25</v>
      </c>
      <c r="AJ16" s="222"/>
      <c r="AL16" s="223"/>
      <c r="AM16" s="224" t="n">
        <f aca="false">$X16</f>
        <v>0</v>
      </c>
      <c r="AN16" s="225" t="n">
        <f aca="false" t="array" ref="AN16:AN16">ROUND(ORÇAMENTO.CustoUnitario*(1+$AH16),2)</f>
        <v>0</v>
      </c>
    </row>
    <row r="17" customFormat="false" ht="12.75" hidden="false" customHeight="false" outlineLevel="0" collapsed="false">
      <c r="A17" s="0" t="n">
        <f aca="false">CHOOSE(1+LOG(1+2*(ORÇAMENTO.Nivel="Meta")+4*(ORÇAMENTO.Nivel="Nível 2")+8*(ORÇAMENTO.Nivel="Nível 3")+16*(ORÇAMENTO.Nivel="Nível 4")+32*(ORÇAMENTO.Nivel="Serviço"),2),0,1,2,3,4,"S")</f>
        <v>2</v>
      </c>
      <c r="B17" s="0" t="n">
        <f aca="true">IF(OR(C17="s",C17=0),OFFSET(B17,-1,0),C17)</f>
        <v>2</v>
      </c>
      <c r="C17" s="0" t="n">
        <f aca="true">IF(OFFSET(C17,-1,0)="L",1,IF(OFFSET(C17,-1,0)=1,2,IF(OR(A17="s",A17=0),"S",IF(AND(OFFSET(C17,-1,0)=2,A17=4),3,IF(AND(OR(OFFSET(C17,-1,0)="s",OFFSET(C17,-1,0)=0),A17&lt;&gt;"s",A17&gt;OFFSET(B17,-1,0)),OFFSET(B17,-1,0),A17)))))</f>
        <v>2</v>
      </c>
      <c r="D17" s="0" t="n">
        <f aca="false">IF(OR(C17="S",C17=0),0,IF(ISERROR(K17),J17,SMALL(J17:K17,1)))</f>
        <v>2</v>
      </c>
      <c r="E17" s="0" t="n">
        <f aca="true">IF($C17=1,OFFSET(E17,-1,0)+MAX(1,COUNTIF(QCI!$A$13:$A$24,OFFSET(ORÇAMENTO!E17,-1,0))),OFFSET(E17,-1,0))</f>
        <v>1</v>
      </c>
      <c r="F17" s="0" t="n">
        <f aca="true">IF($C17=1,0,IF($C17=2,OFFSET(F17,-1,0)+1,OFFSET(F17,-1,0)))</f>
        <v>1</v>
      </c>
      <c r="G17" s="0" t="n">
        <f aca="true">IF(AND($C17&lt;=2,$C17&lt;&gt;0),0,IF($C17=3,OFFSET(G17,-1,0)+1,OFFSET(G17,-1,0)))</f>
        <v>0</v>
      </c>
      <c r="H17" s="0" t="n">
        <f aca="true">IF(AND($C17&lt;=3,$C17&lt;&gt;0),0,IF($C17=4,OFFSET(H17,-1,0)+1,OFFSET(H17,-1,0)))</f>
        <v>0</v>
      </c>
      <c r="I17" s="0" t="n">
        <f aca="true">IF(AND($C17&lt;=4,$C17&lt;&gt;0),0,IF(AND($C17="S",$X17&gt;0),OFFSET(I17,-1,0)+1,OFFSET(I17,-1,0)))</f>
        <v>0</v>
      </c>
      <c r="J17" s="0" t="n">
        <f aca="true">IF(OR($C17="S",$C17=0),0,MATCH(0,OFFSET($D17,1,$C17,ROW($C$59)-ROW($C17)),0))</f>
        <v>42</v>
      </c>
      <c r="K17" s="0" t="n">
        <f aca="true">IF(OR($C17="S",$C17=0),0,MATCH(OFFSET($D17,0,$C17)+IF($C17&lt;&gt;1,1,COUNTIF(QCI!$A$13:$A$24,ORÇAMENTO!E17)),OFFSET($D17,1,$C17,ROW($C$59)-ROW($C17)),0))</f>
        <v>2</v>
      </c>
      <c r="L17" s="204" t="str">
        <f aca="false">IF(OR($X17&gt;0,$C17=1,$C17=2,$C17=3,$C17=4),"F","")</f>
        <v>F</v>
      </c>
      <c r="M17" s="205" t="s">
        <v>764</v>
      </c>
      <c r="N17" s="206" t="str">
        <f aca="false">CHOOSE(1+LOG(1+2*(C17=1)+4*(C17=2)+8*(C17=3)+16*(C17=4)+32*(C17="S"),2),"","Meta","Nível 2","Nível 3","Nível 4","Serviço")</f>
        <v>Nível 2</v>
      </c>
      <c r="O17" s="207" t="str">
        <f aca="false">IF(OR($C17=0,$L17=""),"-",CONCATENATE(E17&amp;".",IF(AND($A$5&gt;=2,$C17&gt;=2),F17&amp;".",""),IF(AND($A$5&gt;=3,$C17&gt;=3),G17&amp;".",""),IF(AND($A$5&gt;=4,$C17&gt;=4),H17&amp;".",""),IF($C17="S",I17&amp;".","")))</f>
        <v>1.1.</v>
      </c>
      <c r="P17" s="208" t="s">
        <v>768</v>
      </c>
      <c r="Q17" s="209"/>
      <c r="R17" s="240" t="s">
        <v>824</v>
      </c>
      <c r="S17" s="211" t="str">
        <f aca="true" t="array" ref="S17:S17">REFERENCIA.Unidade</f>
        <v>-</v>
      </c>
      <c r="T17" s="212" t="n">
        <f aca="true">OFFSET(CÁLCULO!H$15,ROW($T17)-ROW(T$15),0)</f>
        <v>0</v>
      </c>
      <c r="U17" s="213"/>
      <c r="V17" s="214" t="s">
        <v>723</v>
      </c>
      <c r="W17" s="212" t="n">
        <f aca="false" t="array" ref="W17:W17">IF($C17="S",ROUND(IF(TIPOORCAMENTO="Proposto",ORÇAMENTO.CustoUnitario*(1+$AH17),ORÇAMENTO.PrecoUnitarioLicitado),15-13*$AF$10),0)</f>
        <v>0</v>
      </c>
      <c r="X17" s="215" t="n">
        <f aca="true" t="array" ref="X17:X17">IF($C17="S",IF(OR(Import.TipoArredondamento&lt;&gt;"TransfereGOV",ACOMPANHAMENTO="BM"),VTOTAL1,SUM(OFFSET(CÁLCULO!$AA$15,ROW($X17)-ROW($X$15),1):OFFSET(CÁLCULO!$AL$15,ROW($X17)-ROW($X$15),-1))),IF($C17=0,0,ROUND(SomaAgrup,15-13*$AF$11)))</f>
        <v>0</v>
      </c>
      <c r="Y17" s="216" t="s">
        <v>776</v>
      </c>
      <c r="Z17" s="0" t="str">
        <f aca="false">IF(AND($C17="S",$X17&gt;0),IF(ISBLANK($Y17),"RA",LEFT($Y17,2)),"")</f>
        <v/>
      </c>
      <c r="AA17" s="217" t="n">
        <f aca="true" t="array" ref="AA17:AA17">IF($C17="S",IF($Z17="CP",$X17,IF($Z17="RA",(($X17)*QCI!$AA$3),0)),SomaAgrup)</f>
        <v>0</v>
      </c>
      <c r="AB17" s="218" t="n">
        <f aca="true" t="array" ref="AB17:AB17">IF($C17="S",IF($Z17="OU",ROUND($X17,2),0),SomaAgrup)</f>
        <v>0</v>
      </c>
      <c r="AC17" s="219" t="str">
        <f aca="false" t="array" ref="AC17:AC17">IF($N17=""," ",
IF(AND($C17&lt;&gt;"S",OR($R17="",$R17="(digite a descrição aqui)")),"DESCRIÇÃO",
IF(AND($C17="S",OR($Q17&lt;&gt;"",$T17&gt;0,$U17&gt;0),$P17=""),"FONTE",
IF(AND($C17="S",$P17&lt;&gt;"",OR($T17&gt;0,$U17&gt;0),$Q17=""),"CÓDIGO",
IF(AND($C17="S",$P17&lt;&gt;"",$Q17&lt;&gt;"",$R17="(Código não identificado nas referências)"),"CÓDIGO N/ID",
IF(AND($C17="S",OR($R17="",$R17="(digite a descrição aqui)"),OR($Q17&lt;&gt;"",$T17&gt;0,$U17&gt;0)),"DESCRIÇÃO",
IF(AND($C17="S",$P17&lt;&gt;"",$Q17&lt;&gt;"",$S17=""),"UNIDADE",
IF(AND($C17="S",$P17&lt;&gt;"",$Q17&lt;&gt;"",$U17=0),"SEM CUSTO",
IF(AND(TIPOORCAMENTO="Licitado",$AL17=0,$AN17&gt;0),"SEM PREÇO",
IF(AND($C17="S",$P17&lt;&gt;"",$Q17&lt;&gt;"",$U17&gt;0,AND($V17&lt;&gt;"BDI 1",$V17&lt;&gt;"BDI 2",$V17&lt;&gt;"BDI 3")),IF(ISNUMBER($V17),"JUSTIFICAR BDI","BDI"),
IF(OR(AND(import.recurso="OGU",TIPOORCAMENTO="Proposto",LEFT($O$8,5)&lt;&gt;"(N/D:",$AG17&lt;&gt;"",ORÇAMENTO.CustoUnitario&gt;$AG17),AND(TIPOORCAMENTO="LICITADO",ORÇAMENTO.PrecoUnitarioLicitado&gt;$AN17)),"ACIMA REF.",
IF(AND($C17="S",$P17&lt;&gt;"",$Q17&lt;&gt;"",$T17=0,$U17&gt;0),"QUANT.",
IF(AND(Import.TipoArredondamento="TransfereGOV",$L17="F",$C17="S",LEN($Q17)&gt;13),"Código &gt;13",
IF(AND(Import.TipoArredondamento="TransfereGOV",$L17="F",$C17&lt;&gt;"S",LEN($R17)&gt;100),"Descrição &gt;100",
IF(AND(Import.TipoArredondamento="TransfereGOV",$L17="F",$C17="S",LEN($R17)&gt;500),"Descrição &gt;500",
IF(AND(Import.TipoArredondamento="TransfereGOV",$L17="F",$C17="S",LEFT(TRIM(UPPER($P17)),6)&lt;&gt;"SINAPI",ISNA(VLOOKUP(TRIM(UPPER($S17)),ListaTgov.Unidades,1,FALSE()))),"Unid. Não Disp",
" "))))))))))))))))</f>
        <v> </v>
      </c>
      <c r="AD17" s="0" t="n">
        <f aca="true">IF(C17&lt;=CRONO.NivelExibicao,MAX($AD$15:OFFSET(AD17,-1,0))+IF($C17&lt;&gt;1,1,MAX(1,COUNTIF(QCI!$A$13:$A$24,OFFSET($E17,-1,0)))),"")</f>
        <v>2</v>
      </c>
      <c r="AE17" s="48" t="n">
        <f aca="false" t="array" ref="AE17:AE17">IF(AND($C17="S",ORÇAMENTO.CodBarra&lt;&gt;""),IF(ORÇAMENTO.Fonte="",ORÇAMENTO.CodBarra,CONCATENATE(ORÇAMENTO.Fonte," ",ORÇAMENTO.CodBarra)))</f>
        <v>0</v>
      </c>
      <c r="AF17" s="63" t="str">
        <f aca="true" t="array" ref="AF17:AF17">IF(ISERROR(ORÇAMENTO.BancoRef),"(abra o arquivo 'Referência "&amp;Excel_BuiltIn_Database&amp;".xlsm)",IF(OR($C17&lt;&gt;"S",ORÇAMENTO.CodBarra=""),"(Sem Código)",IF(ISERROR(MATCH($AE17,INDIRECT(ORÇAMENTO.BancoRef),0)),"(Código não identificado nas referências)",MATCH($AE17,INDIRECT(ORÇAMENTO.BancoRef),0))))</f>
        <v>(Sem Código)</v>
      </c>
      <c r="AG17" s="220" t="n">
        <f aca="true" t="array" ref="AG17:AG17">ROUND(IF(DESONERACAO="sim",REFERENCIA.Desonerado,REFERENCIA.NaoDesonerado),2)</f>
        <v>0</v>
      </c>
      <c r="AH17" s="221" t="n">
        <f aca="false">ROUND(IF(ISNUMBER(ORÇAMENTO.OpcaoBDI),ORÇAMENTO.OpcaoBDI,IF(LEFT(ORÇAMENTO.OpcaoBDI,3)="BDI",HLOOKUP(ORÇAMENTO.OpcaoBDI,$F$4:$H$5,2,FALSE()),0)),15-11*$AF$9)</f>
        <v>0.25</v>
      </c>
      <c r="AJ17" s="222"/>
      <c r="AL17" s="223"/>
      <c r="AM17" s="224" t="n">
        <f aca="false">$X17</f>
        <v>0</v>
      </c>
      <c r="AN17" s="225" t="n">
        <f aca="false" t="array" ref="AN17:AN17">ROUND(ORÇAMENTO.CustoUnitario*(1+$AH17),2)</f>
        <v>0</v>
      </c>
    </row>
    <row r="18" customFormat="false" ht="12.75" hidden="false" customHeight="false" outlineLevel="0" collapsed="false">
      <c r="A18" s="0" t="str">
        <f aca="false">CHOOSE(1+LOG(1+2*(ORÇAMENTO.Nivel="Meta")+4*(ORÇAMENTO.Nivel="Nível 2")+8*(ORÇAMENTO.Nivel="Nível 3")+16*(ORÇAMENTO.Nivel="Nível 4")+32*(ORÇAMENTO.Nivel="Serviço"),2),0,1,2,3,4,"S")</f>
        <v>S</v>
      </c>
      <c r="B18" s="0" t="n">
        <f aca="true">IF(OR(C18="s",C18=0),OFFSET(B18,-1,0),C18)</f>
        <v>2</v>
      </c>
      <c r="C18" s="0" t="str">
        <f aca="true">IF(OFFSET(C18,-1,0)="L",1,IF(OFFSET(C18,-1,0)=1,2,IF(OR(A18="s",A18=0),"S",IF(AND(OFFSET(C18,-1,0)=2,A18=4),3,IF(AND(OR(OFFSET(C18,-1,0)="s",OFFSET(C18,-1,0)=0),A18&lt;&gt;"s",A18&gt;OFFSET(B18,-1,0)),OFFSET(B18,-1,0),A18)))))</f>
        <v>S</v>
      </c>
      <c r="D18" s="0" t="n">
        <f aca="false">IF(OR(C18="S",C18=0),0,IF(ISERROR(K18),J18,SMALL(J18:K18,1)))</f>
        <v>0</v>
      </c>
      <c r="E18" s="0" t="n">
        <f aca="true">IF($C18=1,OFFSET(E18,-1,0)+MAX(1,COUNTIF(QCI!$A$13:$A$24,OFFSET(ORÇAMENTO!E18,-1,0))),OFFSET(E18,-1,0))</f>
        <v>1</v>
      </c>
      <c r="F18" s="0" t="n">
        <f aca="true">IF($C18=1,0,IF($C18=2,OFFSET(F18,-1,0)+1,OFFSET(F18,-1,0)))</f>
        <v>1</v>
      </c>
      <c r="G18" s="0" t="n">
        <f aca="true">IF(AND($C18&lt;=2,$C18&lt;&gt;0),0,IF($C18=3,OFFSET(G18,-1,0)+1,OFFSET(G18,-1,0)))</f>
        <v>0</v>
      </c>
      <c r="H18" s="0" t="n">
        <f aca="true">IF(AND($C18&lt;=3,$C18&lt;&gt;0),0,IF($C18=4,OFFSET(H18,-1,0)+1,OFFSET(H18,-1,0)))</f>
        <v>0</v>
      </c>
      <c r="I18" s="0" t="n">
        <f aca="true">IF(AND($C18&lt;=4,$C18&lt;&gt;0),0,IF(AND($C18="S",$X18&gt;0),OFFSET(I18,-1,0)+1,OFFSET(I18,-1,0)))</f>
        <v>0</v>
      </c>
      <c r="J18" s="0" t="n">
        <f aca="true">IF(OR($C18="S",$C18=0),0,MATCH(0,OFFSET($D18,1,$C18,ROW($C$59)-ROW($C18)),0))</f>
        <v>0</v>
      </c>
      <c r="K18" s="0" t="n">
        <f aca="true">IF(OR($C18="S",$C18=0),0,MATCH(OFFSET($D18,0,$C18)+IF($C18&lt;&gt;1,1,COUNTIF(QCI!$A$13:$A$24,ORÇAMENTO!E18)),OFFSET($D18,1,$C18,ROW($C$59)-ROW($C18)),0))</f>
        <v>0</v>
      </c>
      <c r="L18" s="204" t="str">
        <f aca="false">IF(OR($X18&gt;0,$C18=1,$C18=2,$C18=3,$C18=4),"F","")</f>
        <v/>
      </c>
      <c r="M18" s="205" t="s">
        <v>767</v>
      </c>
      <c r="N18" s="206" t="str">
        <f aca="false">CHOOSE(1+LOG(1+2*(C18=1)+4*(C18=2)+8*(C18=3)+16*(C18=4)+32*(C18="S"),2),"","Meta","Nível 2","Nível 3","Nível 4","Serviço")</f>
        <v>Serviço</v>
      </c>
      <c r="O18" s="207" t="str">
        <f aca="false">IF(OR($C18=0,$L18=""),"-",CONCATENATE(E18&amp;".",IF(AND($A$5&gt;=2,$C18&gt;=2),F18&amp;".",""),IF(AND($A$5&gt;=3,$C18&gt;=3),G18&amp;".",""),IF(AND($A$5&gt;=4,$C18&gt;=4),H18&amp;".",""),IF($C18="S",I18&amp;".","")))</f>
        <v>-</v>
      </c>
      <c r="P18" s="208" t="s">
        <v>771</v>
      </c>
      <c r="Q18" s="209" t="s">
        <v>825</v>
      </c>
      <c r="R18" s="240" t="str">
        <f aca="true" t="array" ref="R18:R18">IF($C18="S",REFERENCIA.Descricao,"(digite a descrição aqui)")</f>
        <v>(Código não identificado nas referências)</v>
      </c>
      <c r="S18" s="211" t="str">
        <f aca="true" t="array" ref="S18:S18">REFERENCIA.Unidade</f>
        <v>-</v>
      </c>
      <c r="T18" s="212" t="n">
        <f aca="true">OFFSET(CÁLCULO!H$15,ROW($T18)-ROW(T$15),0)</f>
        <v>12</v>
      </c>
      <c r="U18" s="213" t="n">
        <f aca="false">AG18</f>
        <v>0</v>
      </c>
      <c r="V18" s="214" t="s">
        <v>723</v>
      </c>
      <c r="W18" s="212" t="n">
        <f aca="false" t="array" ref="W18:W18">IF($C18="S",ROUND(IF(TIPOORCAMENTO="Proposto",ORÇAMENTO.CustoUnitario*(1+$AH18),ORÇAMENTO.PrecoUnitarioLicitado),15-13*$AF$10),0)</f>
        <v>0</v>
      </c>
      <c r="X18" s="215" t="n">
        <f aca="true" t="array" ref="X18:X18">IF($C18="S",IF(OR(Import.TipoArredondamento&lt;&gt;"TransfereGOV",ACOMPANHAMENTO="BM"),VTOTAL1,SUM(OFFSET(CÁLCULO!$AA$15,ROW($X18)-ROW($X$15),1):OFFSET(CÁLCULO!$AL$15,ROW($X18)-ROW($X$15),-1))),IF($C18=0,0,ROUND(SomaAgrup,15-13*$AF$11)))</f>
        <v>0</v>
      </c>
      <c r="Y18" s="216" t="s">
        <v>776</v>
      </c>
      <c r="Z18" s="0" t="str">
        <f aca="false">IF(AND($C18="S",$X18&gt;0),IF(ISBLANK($Y18),"RA",LEFT($Y18,2)),"")</f>
        <v/>
      </c>
      <c r="AA18" s="217" t="n">
        <f aca="true" t="array" ref="AA18:AA18">IF($C18="S",IF($Z18="CP",$X18,IF($Z18="RA",(($X18)*QCI!$AA$3),0)),SomaAgrup)</f>
        <v>0</v>
      </c>
      <c r="AB18" s="218" t="n">
        <f aca="true" t="array" ref="AB18:AB18">IF($C18="S",IF($Z18="OU",ROUND($X18,2),0),SomaAgrup)</f>
        <v>0</v>
      </c>
      <c r="AC18" s="219" t="str">
        <f aca="false" t="array" ref="AC18:AC18">IF($N18=""," ",
IF(AND($C18&lt;&gt;"S",OR($R18="",$R18="(digite a descrição aqui)")),"DESCRIÇÃO",
IF(AND($C18="S",OR($Q18&lt;&gt;"",$T18&gt;0,$U18&gt;0),$P18=""),"FONTE",
IF(AND($C18="S",$P18&lt;&gt;"",OR($T18&gt;0,$U18&gt;0),$Q18=""),"CÓDIGO",
IF(AND($C18="S",$P18&lt;&gt;"",$Q18&lt;&gt;"",$R18="(Código não identificado nas referências)"),"CÓDIGO N/ID",
IF(AND($C18="S",OR($R18="",$R18="(digite a descrição aqui)"),OR($Q18&lt;&gt;"",$T18&gt;0,$U18&gt;0)),"DESCRIÇÃO",
IF(AND($C18="S",$P18&lt;&gt;"",$Q18&lt;&gt;"",$S18=""),"UNIDADE",
IF(AND($C18="S",$P18&lt;&gt;"",$Q18&lt;&gt;"",$U18=0),"SEM CUSTO",
IF(AND(TIPOORCAMENTO="Licitado",$AL18=0,$AN18&gt;0),"SEM PREÇO",
IF(AND($C18="S",$P18&lt;&gt;"",$Q18&lt;&gt;"",$U18&gt;0,AND($V18&lt;&gt;"BDI 1",$V18&lt;&gt;"BDI 2",$V18&lt;&gt;"BDI 3")),IF(ISNUMBER($V18),"JUSTIFICAR BDI","BDI"),
IF(OR(AND(import.recurso="OGU",TIPOORCAMENTO="Proposto",LEFT($O$8,5)&lt;&gt;"(N/D:",$AG18&lt;&gt;"",ORÇAMENTO.CustoUnitario&gt;$AG18),AND(TIPOORCAMENTO="LICITADO",ORÇAMENTO.PrecoUnitarioLicitado&gt;$AN18)),"ACIMA REF.",
IF(AND($C18="S",$P18&lt;&gt;"",$Q18&lt;&gt;"",$T18=0,$U18&gt;0),"QUANT.",
IF(AND(Import.TipoArredondamento="TransfereGOV",$L18="F",$C18="S",LEN($Q18)&gt;13),"Código &gt;13",
IF(AND(Import.TipoArredondamento="TransfereGOV",$L18="F",$C18&lt;&gt;"S",LEN($R18)&gt;100),"Descrição &gt;100",
IF(AND(Import.TipoArredondamento="TransfereGOV",$L18="F",$C18="S",LEN($R18)&gt;500),"Descrição &gt;500",
IF(AND(Import.TipoArredondamento="TransfereGOV",$L18="F",$C18="S",LEFT(TRIM(UPPER($P18)),6)&lt;&gt;"SINAPI",ISNA(VLOOKUP(TRIM(UPPER($S18)),ListaTgov.Unidades,1,FALSE()))),"Unid. Não Disp",
" "))))))))))))))))</f>
        <v>CÓDIGO N/ID</v>
      </c>
      <c r="AD18" s="0" t="str">
        <f aca="true">IF(C18&lt;=CRONO.NivelExibicao,MAX($AD$15:OFFSET(AD18,-1,0))+IF($C18&lt;&gt;1,1,MAX(1,COUNTIF(QCI!$A$13:$A$24,OFFSET($E18,-1,0)))),"")</f>
        <v/>
      </c>
      <c r="AE18" s="48" t="str">
        <f aca="false" t="array" ref="AE18:AE18">IF(AND($C18="S",ORÇAMENTO.CodBarra&lt;&gt;""),IF(ORÇAMENTO.Fonte="",ORÇAMENTO.CodBarra,CONCATENATE(ORÇAMENTO.Fonte," ",ORÇAMENTO.CodBarra)))</f>
        <v>Composição 01</v>
      </c>
      <c r="AF18" s="63" t="str">
        <f aca="true" t="array" ref="AF18:AF18">IF(ISERROR(ORÇAMENTO.BancoRef),"(abra o arquivo 'Referência "&amp;Excel_BuiltIn_Database&amp;".xlsm)",IF(OR($C18&lt;&gt;"S",ORÇAMENTO.CodBarra=""),"(Sem Código)",IF(ISERROR(MATCH($AE18,INDIRECT(ORÇAMENTO.BancoRef),0)),"(Código não identificado nas referências)",MATCH($AE18,INDIRECT(ORÇAMENTO.BancoRef),0))))</f>
        <v>(Código não identificado nas referências)</v>
      </c>
      <c r="AG18" s="220" t="n">
        <f aca="true" t="array" ref="AG18:AG18">ROUND(IF(DESONERACAO="sim",REFERENCIA.Desonerado,REFERENCIA.NaoDesonerado),2)</f>
        <v>0</v>
      </c>
      <c r="AH18" s="221" t="n">
        <f aca="false">ROUND(IF(ISNUMBER(ORÇAMENTO.OpcaoBDI),ORÇAMENTO.OpcaoBDI,IF(LEFT(ORÇAMENTO.OpcaoBDI,3)="BDI",HLOOKUP(ORÇAMENTO.OpcaoBDI,$F$4:$H$5,2,FALSE()),0)),15-11*$AF$9)</f>
        <v>0.25</v>
      </c>
      <c r="AJ18" s="222" t="n">
        <v>12</v>
      </c>
      <c r="AL18" s="223"/>
      <c r="AM18" s="224" t="n">
        <f aca="false">$X18</f>
        <v>0</v>
      </c>
      <c r="AN18" s="225" t="n">
        <f aca="false" t="array" ref="AN18:AN18">ROUND(ORÇAMENTO.CustoUnitario*(1+$AH18),2)</f>
        <v>0</v>
      </c>
    </row>
    <row r="19" customFormat="false" ht="12.75" hidden="false" customHeight="false" outlineLevel="0" collapsed="false">
      <c r="A19" s="0" t="n">
        <f aca="false">CHOOSE(1+LOG(1+2*(ORÇAMENTO.Nivel="Meta")+4*(ORÇAMENTO.Nivel="Nível 2")+8*(ORÇAMENTO.Nivel="Nível 3")+16*(ORÇAMENTO.Nivel="Nível 4")+32*(ORÇAMENTO.Nivel="Serviço"),2),0,1,2,3,4,"S")</f>
        <v>2</v>
      </c>
      <c r="B19" s="0" t="n">
        <f aca="true">IF(OR(C19="s",C19=0),OFFSET(B19,-1,0),C19)</f>
        <v>2</v>
      </c>
      <c r="C19" s="0" t="n">
        <f aca="true">IF(OFFSET(C19,-1,0)="L",1,IF(OFFSET(C19,-1,0)=1,2,IF(OR(A19="s",A19=0),"S",IF(AND(OFFSET(C19,-1,0)=2,A19=4),3,IF(AND(OR(OFFSET(C19,-1,0)="s",OFFSET(C19,-1,0)=0),A19&lt;&gt;"s",A19&gt;OFFSET(B19,-1,0)),OFFSET(B19,-1,0),A19)))))</f>
        <v>2</v>
      </c>
      <c r="D19" s="0" t="n">
        <f aca="false">IF(OR(C19="S",C19=0),0,IF(ISERROR(K19),J19,SMALL(J19:K19,1)))</f>
        <v>3</v>
      </c>
      <c r="E19" s="0" t="n">
        <f aca="true">IF($C19=1,OFFSET(E19,-1,0)+MAX(1,COUNTIF(QCI!$A$13:$A$24,OFFSET(ORÇAMENTO!E19,-1,0))),OFFSET(E19,-1,0))</f>
        <v>1</v>
      </c>
      <c r="F19" s="0" t="n">
        <f aca="true">IF($C19=1,0,IF($C19=2,OFFSET(F19,-1,0)+1,OFFSET(F19,-1,0)))</f>
        <v>2</v>
      </c>
      <c r="G19" s="0" t="n">
        <f aca="true">IF(AND($C19&lt;=2,$C19&lt;&gt;0),0,IF($C19=3,OFFSET(G19,-1,0)+1,OFFSET(G19,-1,0)))</f>
        <v>0</v>
      </c>
      <c r="H19" s="0" t="n">
        <f aca="true">IF(AND($C19&lt;=3,$C19&lt;&gt;0),0,IF($C19=4,OFFSET(H19,-1,0)+1,OFFSET(H19,-1,0)))</f>
        <v>0</v>
      </c>
      <c r="I19" s="0" t="n">
        <f aca="true">IF(AND($C19&lt;=4,$C19&lt;&gt;0),0,IF(AND($C19="S",$X19&gt;0),OFFSET(I19,-1,0)+1,OFFSET(I19,-1,0)))</f>
        <v>0</v>
      </c>
      <c r="J19" s="0" t="n">
        <f aca="true">IF(OR($C19="S",$C19=0),0,MATCH(0,OFFSET($D19,1,$C19,ROW($C$59)-ROW($C19)),0))</f>
        <v>40</v>
      </c>
      <c r="K19" s="0" t="n">
        <f aca="true">IF(OR($C19="S",$C19=0),0,MATCH(OFFSET($D19,0,$C19)+IF($C19&lt;&gt;1,1,COUNTIF(QCI!$A$13:$A$24,ORÇAMENTO!E19)),OFFSET($D19,1,$C19,ROW($C$59)-ROW($C19)),0))</f>
        <v>3</v>
      </c>
      <c r="L19" s="204" t="str">
        <f aca="false">IF(OR($X19&gt;0,$C19=1,$C19=2,$C19=3,$C19=4),"F","")</f>
        <v>F</v>
      </c>
      <c r="M19" s="205" t="s">
        <v>764</v>
      </c>
      <c r="N19" s="206" t="str">
        <f aca="false">CHOOSE(1+LOG(1+2*(C19=1)+4*(C19=2)+8*(C19=3)+16*(C19=4)+32*(C19="S"),2),"","Meta","Nível 2","Nível 3","Nível 4","Serviço")</f>
        <v>Nível 2</v>
      </c>
      <c r="O19" s="207" t="str">
        <f aca="false">IF(OR($C19=0,$L19=""),"-",CONCATENATE(E19&amp;".",IF(AND($A$5&gt;=2,$C19&gt;=2),F19&amp;".",""),IF(AND($A$5&gt;=3,$C19&gt;=3),G19&amp;".",""),IF(AND($A$5&gt;=4,$C19&gt;=4),H19&amp;".",""),IF($C19="S",I19&amp;".","")))</f>
        <v>1.2.</v>
      </c>
      <c r="P19" s="208" t="s">
        <v>768</v>
      </c>
      <c r="Q19" s="209"/>
      <c r="R19" s="240" t="s">
        <v>826</v>
      </c>
      <c r="S19" s="211" t="str">
        <f aca="true" t="array" ref="S19:S19">REFERENCIA.Unidade</f>
        <v>-</v>
      </c>
      <c r="T19" s="212" t="n">
        <f aca="true">OFFSET(CÁLCULO!H$15,ROW($T19)-ROW(T$15),0)</f>
        <v>0</v>
      </c>
      <c r="U19" s="213"/>
      <c r="V19" s="214" t="s">
        <v>723</v>
      </c>
      <c r="W19" s="212" t="n">
        <f aca="false" t="array" ref="W19:W19">IF($C19="S",ROUND(IF(TIPOORCAMENTO="Proposto",ORÇAMENTO.CustoUnitario*(1+$AH19),ORÇAMENTO.PrecoUnitarioLicitado),15-13*$AF$10),0)</f>
        <v>0</v>
      </c>
      <c r="X19" s="215" t="n">
        <f aca="true" t="array" ref="X19:X19">IF($C19="S",IF(OR(Import.TipoArredondamento&lt;&gt;"TransfereGOV",ACOMPANHAMENTO="BM"),VTOTAL1,SUM(OFFSET(CÁLCULO!$AA$15,ROW($X19)-ROW($X$15),1):OFFSET(CÁLCULO!$AL$15,ROW($X19)-ROW($X$15),-1))),IF($C19=0,0,ROUND(SomaAgrup,15-13*$AF$11)))</f>
        <v>0</v>
      </c>
      <c r="Y19" s="216" t="s">
        <v>776</v>
      </c>
      <c r="Z19" s="0" t="str">
        <f aca="false">IF(AND($C19="S",$X19&gt;0),IF(ISBLANK($Y19),"RA",LEFT($Y19,2)),"")</f>
        <v/>
      </c>
      <c r="AA19" s="217" t="n">
        <f aca="true" t="array" ref="AA19:AA19">IF($C19="S",IF($Z19="CP",$X19,IF($Z19="RA",(($X19)*QCI!$AA$3),0)),SomaAgrup)</f>
        <v>0</v>
      </c>
      <c r="AB19" s="218" t="n">
        <f aca="true" t="array" ref="AB19:AB19">IF($C19="S",IF($Z19="OU",ROUND($X19,2),0),SomaAgrup)</f>
        <v>0</v>
      </c>
      <c r="AC19" s="219" t="str">
        <f aca="false" t="array" ref="AC19:AC19">IF($N19=""," ",
IF(AND($C19&lt;&gt;"S",OR($R19="",$R19="(digite a descrição aqui)")),"DESCRIÇÃO",
IF(AND($C19="S",OR($Q19&lt;&gt;"",$T19&gt;0,$U19&gt;0),$P19=""),"FONTE",
IF(AND($C19="S",$P19&lt;&gt;"",OR($T19&gt;0,$U19&gt;0),$Q19=""),"CÓDIGO",
IF(AND($C19="S",$P19&lt;&gt;"",$Q19&lt;&gt;"",$R19="(Código não identificado nas referências)"),"CÓDIGO N/ID",
IF(AND($C19="S",OR($R19="",$R19="(digite a descrição aqui)"),OR($Q19&lt;&gt;"",$T19&gt;0,$U19&gt;0)),"DESCRIÇÃO",
IF(AND($C19="S",$P19&lt;&gt;"",$Q19&lt;&gt;"",$S19=""),"UNIDADE",
IF(AND($C19="S",$P19&lt;&gt;"",$Q19&lt;&gt;"",$U19=0),"SEM CUSTO",
IF(AND(TIPOORCAMENTO="Licitado",$AL19=0,$AN19&gt;0),"SEM PREÇO",
IF(AND($C19="S",$P19&lt;&gt;"",$Q19&lt;&gt;"",$U19&gt;0,AND($V19&lt;&gt;"BDI 1",$V19&lt;&gt;"BDI 2",$V19&lt;&gt;"BDI 3")),IF(ISNUMBER($V19),"JUSTIFICAR BDI","BDI"),
IF(OR(AND(import.recurso="OGU",TIPOORCAMENTO="Proposto",LEFT($O$8,5)&lt;&gt;"(N/D:",$AG19&lt;&gt;"",ORÇAMENTO.CustoUnitario&gt;$AG19),AND(TIPOORCAMENTO="LICITADO",ORÇAMENTO.PrecoUnitarioLicitado&gt;$AN19)),"ACIMA REF.",
IF(AND($C19="S",$P19&lt;&gt;"",$Q19&lt;&gt;"",$T19=0,$U19&gt;0),"QUANT.",
IF(AND(Import.TipoArredondamento="TransfereGOV",$L19="F",$C19="S",LEN($Q19)&gt;13),"Código &gt;13",
IF(AND(Import.TipoArredondamento="TransfereGOV",$L19="F",$C19&lt;&gt;"S",LEN($R19)&gt;100),"Descrição &gt;100",
IF(AND(Import.TipoArredondamento="TransfereGOV",$L19="F",$C19="S",LEN($R19)&gt;500),"Descrição &gt;500",
IF(AND(Import.TipoArredondamento="TransfereGOV",$L19="F",$C19="S",LEFT(TRIM(UPPER($P19)),6)&lt;&gt;"SINAPI",ISNA(VLOOKUP(TRIM(UPPER($S19)),ListaTgov.Unidades,1,FALSE()))),"Unid. Não Disp",
" "))))))))))))))))</f>
        <v> </v>
      </c>
      <c r="AD19" s="0" t="n">
        <f aca="true">IF(C19&lt;=CRONO.NivelExibicao,MAX($AD$15:OFFSET(AD19,-1,0))+IF($C19&lt;&gt;1,1,MAX(1,COUNTIF(QCI!$A$13:$A$24,OFFSET($E19,-1,0)))),"")</f>
        <v>3</v>
      </c>
      <c r="AE19" s="48" t="n">
        <f aca="false" t="array" ref="AE19:AE19">IF(AND($C19="S",ORÇAMENTO.CodBarra&lt;&gt;""),IF(ORÇAMENTO.Fonte="",ORÇAMENTO.CodBarra,CONCATENATE(ORÇAMENTO.Fonte," ",ORÇAMENTO.CodBarra)))</f>
        <v>0</v>
      </c>
      <c r="AF19" s="63" t="str">
        <f aca="true" t="array" ref="AF19:AF19">IF(ISERROR(ORÇAMENTO.BancoRef),"(abra o arquivo 'Referência "&amp;Excel_BuiltIn_Database&amp;".xlsm)",IF(OR($C19&lt;&gt;"S",ORÇAMENTO.CodBarra=""),"(Sem Código)",IF(ISERROR(MATCH($AE19,INDIRECT(ORÇAMENTO.BancoRef),0)),"(Código não identificado nas referências)",MATCH($AE19,INDIRECT(ORÇAMENTO.BancoRef),0))))</f>
        <v>(Sem Código)</v>
      </c>
      <c r="AG19" s="220" t="n">
        <f aca="true" t="array" ref="AG19:AG19">ROUND(IF(DESONERACAO="sim",REFERENCIA.Desonerado,REFERENCIA.NaoDesonerado),2)</f>
        <v>0</v>
      </c>
      <c r="AH19" s="221" t="n">
        <f aca="false">ROUND(IF(ISNUMBER(ORÇAMENTO.OpcaoBDI),ORÇAMENTO.OpcaoBDI,IF(LEFT(ORÇAMENTO.OpcaoBDI,3)="BDI",HLOOKUP(ORÇAMENTO.OpcaoBDI,$F$4:$H$5,2,FALSE()),0)),15-11*$AF$9)</f>
        <v>0.25</v>
      </c>
      <c r="AJ19" s="222"/>
      <c r="AL19" s="223"/>
      <c r="AM19" s="224" t="n">
        <f aca="false">$X19</f>
        <v>0</v>
      </c>
      <c r="AN19" s="225" t="n">
        <f aca="false" t="array" ref="AN19:AN19">ROUND(ORÇAMENTO.CustoUnitario*(1+$AH19),2)</f>
        <v>0</v>
      </c>
    </row>
    <row r="20" customFormat="false" ht="12.75" hidden="false" customHeight="false" outlineLevel="0" collapsed="false">
      <c r="A20" s="0" t="str">
        <f aca="false">CHOOSE(1+LOG(1+2*(ORÇAMENTO.Nivel="Meta")+4*(ORÇAMENTO.Nivel="Nível 2")+8*(ORÇAMENTO.Nivel="Nível 3")+16*(ORÇAMENTO.Nivel="Nível 4")+32*(ORÇAMENTO.Nivel="Serviço"),2),0,1,2,3,4,"S")</f>
        <v>S</v>
      </c>
      <c r="B20" s="0" t="n">
        <f aca="true">IF(OR(C20="s",C20=0),OFFSET(B20,-1,0),C20)</f>
        <v>2</v>
      </c>
      <c r="C20" s="0" t="str">
        <f aca="true">IF(OFFSET(C20,-1,0)="L",1,IF(OFFSET(C20,-1,0)=1,2,IF(OR(A20="s",A20=0),"S",IF(AND(OFFSET(C20,-1,0)=2,A20=4),3,IF(AND(OR(OFFSET(C20,-1,0)="s",OFFSET(C20,-1,0)=0),A20&lt;&gt;"s",A20&gt;OFFSET(B20,-1,0)),OFFSET(B20,-1,0),A20)))))</f>
        <v>S</v>
      </c>
      <c r="D20" s="0" t="n">
        <f aca="false">IF(OR(C20="S",C20=0),0,IF(ISERROR(K20),J20,SMALL(J20:K20,1)))</f>
        <v>0</v>
      </c>
      <c r="E20" s="0" t="n">
        <f aca="true">IF($C20=1,OFFSET(E20,-1,0)+MAX(1,COUNTIF(QCI!$A$13:$A$24,OFFSET(ORÇAMENTO!E20,-1,0))),OFFSET(E20,-1,0))</f>
        <v>1</v>
      </c>
      <c r="F20" s="0" t="n">
        <f aca="true">IF($C20=1,0,IF($C20=2,OFFSET(F20,-1,0)+1,OFFSET(F20,-1,0)))</f>
        <v>2</v>
      </c>
      <c r="G20" s="0" t="n">
        <f aca="true">IF(AND($C20&lt;=2,$C20&lt;&gt;0),0,IF($C20=3,OFFSET(G20,-1,0)+1,OFFSET(G20,-1,0)))</f>
        <v>0</v>
      </c>
      <c r="H20" s="0" t="n">
        <f aca="true">IF(AND($C20&lt;=3,$C20&lt;&gt;0),0,IF($C20=4,OFFSET(H20,-1,0)+1,OFFSET(H20,-1,0)))</f>
        <v>0</v>
      </c>
      <c r="I20" s="0" t="n">
        <f aca="true">IF(AND($C20&lt;=4,$C20&lt;&gt;0),0,IF(AND($C20="S",$X20&gt;0),OFFSET(I20,-1,0)+1,OFFSET(I20,-1,0)))</f>
        <v>0</v>
      </c>
      <c r="J20" s="0" t="n">
        <f aca="true">IF(OR($C20="S",$C20=0),0,MATCH(0,OFFSET($D20,1,$C20,ROW($C$59)-ROW($C20)),0))</f>
        <v>0</v>
      </c>
      <c r="K20" s="0" t="n">
        <f aca="true">IF(OR($C20="S",$C20=0),0,MATCH(OFFSET($D20,0,$C20)+IF($C20&lt;&gt;1,1,COUNTIF(QCI!$A$13:$A$24,ORÇAMENTO!E20)),OFFSET($D20,1,$C20,ROW($C$59)-ROW($C20)),0))</f>
        <v>0</v>
      </c>
      <c r="L20" s="204" t="str">
        <f aca="false">IF(OR($X20&gt;0,$C20=1,$C20=2,$C20=3,$C20=4),"F","")</f>
        <v/>
      </c>
      <c r="M20" s="205" t="s">
        <v>767</v>
      </c>
      <c r="N20" s="206" t="str">
        <f aca="false">CHOOSE(1+LOG(1+2*(C20=1)+4*(C20=2)+8*(C20=3)+16*(C20=4)+32*(C20="S"),2),"","Meta","Nível 2","Nível 3","Nível 4","Serviço")</f>
        <v>Serviço</v>
      </c>
      <c r="O20" s="207" t="str">
        <f aca="false">IF(OR($C20=0,$L20=""),"-",CONCATENATE(E20&amp;".",IF(AND($A$5&gt;=2,$C20&gt;=2),F20&amp;".",""),IF(AND($A$5&gt;=3,$C20&gt;=3),G20&amp;".",""),IF(AND($A$5&gt;=4,$C20&gt;=4),H20&amp;".",""),IF($C20="S",I20&amp;".","")))</f>
        <v>-</v>
      </c>
      <c r="P20" s="208" t="s">
        <v>771</v>
      </c>
      <c r="Q20" s="209" t="s">
        <v>827</v>
      </c>
      <c r="R20" s="240" t="s">
        <v>828</v>
      </c>
      <c r="S20" s="211" t="str">
        <f aca="true" t="array" ref="S20:S20">REFERENCIA.Unidade</f>
        <v>-</v>
      </c>
      <c r="T20" s="212" t="n">
        <f aca="true">OFFSET(CÁLCULO!H$15,ROW($T20)-ROW(T$15),0)</f>
        <v>1</v>
      </c>
      <c r="U20" s="213" t="n">
        <f aca="false">AG20</f>
        <v>0</v>
      </c>
      <c r="V20" s="214" t="s">
        <v>723</v>
      </c>
      <c r="W20" s="212" t="n">
        <f aca="false" t="array" ref="W20:W20">IF($C20="S",ROUND(IF(TIPOORCAMENTO="Proposto",ORÇAMENTO.CustoUnitario*(1+$AH20),ORÇAMENTO.PrecoUnitarioLicitado),15-13*$AF$10),0)</f>
        <v>0</v>
      </c>
      <c r="X20" s="215" t="n">
        <f aca="true" t="array" ref="X20:X20">IF($C20="S",IF(OR(Import.TipoArredondamento&lt;&gt;"TransfereGOV",ACOMPANHAMENTO="BM"),VTOTAL1,SUM(OFFSET(CÁLCULO!$AA$15,ROW($X20)-ROW($X$15),1):OFFSET(CÁLCULO!$AL$15,ROW($X20)-ROW($X$15),-1))),IF($C20=0,0,ROUND(SomaAgrup,15-13*$AF$11)))</f>
        <v>0</v>
      </c>
      <c r="Y20" s="216" t="s">
        <v>776</v>
      </c>
      <c r="Z20" s="0" t="str">
        <f aca="false">IF(AND($C20="S",$X20&gt;0),IF(ISBLANK($Y20),"RA",LEFT($Y20,2)),"")</f>
        <v/>
      </c>
      <c r="AA20" s="217" t="n">
        <f aca="true" t="array" ref="AA20:AA20">IF($C20="S",IF($Z20="CP",$X20,IF($Z20="RA",(($X20)*QCI!$AA$3),0)),SomaAgrup)</f>
        <v>0</v>
      </c>
      <c r="AB20" s="218" t="n">
        <f aca="true" t="array" ref="AB20:AB20">IF($C20="S",IF($Z20="OU",ROUND($X20,2),0),SomaAgrup)</f>
        <v>0</v>
      </c>
      <c r="AC20" s="219" t="str">
        <f aca="false" t="array" ref="AC20:AC20">IF($N20=""," ",
IF(AND($C20&lt;&gt;"S",OR($R20="",$R20="(digite a descrição aqui)")),"DESCRIÇÃO",
IF(AND($C20="S",OR($Q20&lt;&gt;"",$T20&gt;0,$U20&gt;0),$P20=""),"FONTE",
IF(AND($C20="S",$P20&lt;&gt;"",OR($T20&gt;0,$U20&gt;0),$Q20=""),"CÓDIGO",
IF(AND($C20="S",$P20&lt;&gt;"",$Q20&lt;&gt;"",$R20="(Código não identificado nas referências)"),"CÓDIGO N/ID",
IF(AND($C20="S",OR($R20="",$R20="(digite a descrição aqui)"),OR($Q20&lt;&gt;"",$T20&gt;0,$U20&gt;0)),"DESCRIÇÃO",
IF(AND($C20="S",$P20&lt;&gt;"",$Q20&lt;&gt;"",$S20=""),"UNIDADE",
IF(AND($C20="S",$P20&lt;&gt;"",$Q20&lt;&gt;"",$U20=0),"SEM CUSTO",
IF(AND(TIPOORCAMENTO="Licitado",$AL20=0,$AN20&gt;0),"SEM PREÇO",
IF(AND($C20="S",$P20&lt;&gt;"",$Q20&lt;&gt;"",$U20&gt;0,AND($V20&lt;&gt;"BDI 1",$V20&lt;&gt;"BDI 2",$V20&lt;&gt;"BDI 3")),IF(ISNUMBER($V20),"JUSTIFICAR BDI","BDI"),
IF(OR(AND(import.recurso="OGU",TIPOORCAMENTO="Proposto",LEFT($O$8,5)&lt;&gt;"(N/D:",$AG20&lt;&gt;"",ORÇAMENTO.CustoUnitario&gt;$AG20),AND(TIPOORCAMENTO="LICITADO",ORÇAMENTO.PrecoUnitarioLicitado&gt;$AN20)),"ACIMA REF.",
IF(AND($C20="S",$P20&lt;&gt;"",$Q20&lt;&gt;"",$T20=0,$U20&gt;0),"QUANT.",
IF(AND(Import.TipoArredondamento="TransfereGOV",$L20="F",$C20="S",LEN($Q20)&gt;13),"Código &gt;13",
IF(AND(Import.TipoArredondamento="TransfereGOV",$L20="F",$C20&lt;&gt;"S",LEN($R20)&gt;100),"Descrição &gt;100",
IF(AND(Import.TipoArredondamento="TransfereGOV",$L20="F",$C20="S",LEN($R20)&gt;500),"Descrição &gt;500",
IF(AND(Import.TipoArredondamento="TransfereGOV",$L20="F",$C20="S",LEFT(TRIM(UPPER($P20)),6)&lt;&gt;"SINAPI",ISNA(VLOOKUP(TRIM(UPPER($S20)),ListaTgov.Unidades,1,FALSE()))),"Unid. Não Disp",
" "))))))))))))))))</f>
        <v>SEM CUSTO</v>
      </c>
      <c r="AD20" s="0" t="str">
        <f aca="true">IF(C20&lt;=CRONO.NivelExibicao,MAX($AD$15:OFFSET(AD20,-1,0))+IF($C20&lt;&gt;1,1,MAX(1,COUNTIF(QCI!$A$13:$A$24,OFFSET($E20,-1,0)))),"")</f>
        <v/>
      </c>
      <c r="AE20" s="48" t="str">
        <f aca="false" t="array" ref="AE20:AE20">IF(AND($C20="S",ORÇAMENTO.CodBarra&lt;&gt;""),IF(ORÇAMENTO.Fonte="",ORÇAMENTO.CodBarra,CONCATENATE(ORÇAMENTO.Fonte," ",ORÇAMENTO.CodBarra)))</f>
        <v>Composição 02</v>
      </c>
      <c r="AF20" s="63" t="str">
        <f aca="true" t="array" ref="AF20:AF20">IF(ISERROR(ORÇAMENTO.BancoRef),"(abra o arquivo 'Referência "&amp;Excel_BuiltIn_Database&amp;".xlsm)",IF(OR($C20&lt;&gt;"S",ORÇAMENTO.CodBarra=""),"(Sem Código)",IF(ISERROR(MATCH($AE20,INDIRECT(ORÇAMENTO.BancoRef),0)),"(Código não identificado nas referências)",MATCH($AE20,INDIRECT(ORÇAMENTO.BancoRef),0))))</f>
        <v>(Código não identificado nas referências)</v>
      </c>
      <c r="AG20" s="220" t="n">
        <f aca="true" t="array" ref="AG20:AG20">ROUND(IF(DESONERACAO="sim",REFERENCIA.Desonerado,REFERENCIA.NaoDesonerado),2)</f>
        <v>0</v>
      </c>
      <c r="AH20" s="221" t="n">
        <f aca="false">ROUND(IF(ISNUMBER(ORÇAMENTO.OpcaoBDI),ORÇAMENTO.OpcaoBDI,IF(LEFT(ORÇAMENTO.OpcaoBDI,3)="BDI",HLOOKUP(ORÇAMENTO.OpcaoBDI,$F$4:$H$5,2,FALSE()),0)),15-11*$AF$9)</f>
        <v>0.25</v>
      </c>
      <c r="AJ20" s="222" t="n">
        <v>1</v>
      </c>
      <c r="AL20" s="223"/>
      <c r="AM20" s="224" t="n">
        <f aca="false">$X20</f>
        <v>0</v>
      </c>
      <c r="AN20" s="225" t="n">
        <f aca="false" t="array" ref="AN20:AN20">ROUND(ORÇAMENTO.CustoUnitario*(1+$AH20),2)</f>
        <v>0</v>
      </c>
    </row>
    <row r="21" customFormat="false" ht="12.75" hidden="false" customHeight="false" outlineLevel="0" collapsed="false">
      <c r="A21" s="0" t="str">
        <f aca="false">CHOOSE(1+LOG(1+2*(ORÇAMENTO.Nivel="Meta")+4*(ORÇAMENTO.Nivel="Nível 2")+8*(ORÇAMENTO.Nivel="Nível 3")+16*(ORÇAMENTO.Nivel="Nível 4")+32*(ORÇAMENTO.Nivel="Serviço"),2),0,1,2,3,4,"S")</f>
        <v>S</v>
      </c>
      <c r="B21" s="0" t="n">
        <f aca="true">IF(OR(C21="s",C21=0),OFFSET(B21,-1,0),C21)</f>
        <v>2</v>
      </c>
      <c r="C21" s="0" t="str">
        <f aca="true">IF(OFFSET(C21,-1,0)="L",1,IF(OFFSET(C21,-1,0)=1,2,IF(OR(A21="s",A21=0),"S",IF(AND(OFFSET(C21,-1,0)=2,A21=4),3,IF(AND(OR(OFFSET(C21,-1,0)="s",OFFSET(C21,-1,0)=0),A21&lt;&gt;"s",A21&gt;OFFSET(B21,-1,0)),OFFSET(B21,-1,0),A21)))))</f>
        <v>S</v>
      </c>
      <c r="D21" s="0" t="n">
        <f aca="false">IF(OR(C21="S",C21=0),0,IF(ISERROR(K21),J21,SMALL(J21:K21,1)))</f>
        <v>0</v>
      </c>
      <c r="E21" s="0" t="n">
        <f aca="true">IF($C21=1,OFFSET(E21,-1,0)+MAX(1,COUNTIF(QCI!$A$13:$A$24,OFFSET(ORÇAMENTO!E21,-1,0))),OFFSET(E21,-1,0))</f>
        <v>1</v>
      </c>
      <c r="F21" s="0" t="n">
        <f aca="true">IF($C21=1,0,IF($C21=2,OFFSET(F21,-1,0)+1,OFFSET(F21,-1,0)))</f>
        <v>2</v>
      </c>
      <c r="G21" s="0" t="n">
        <f aca="true">IF(AND($C21&lt;=2,$C21&lt;&gt;0),0,IF($C21=3,OFFSET(G21,-1,0)+1,OFFSET(G21,-1,0)))</f>
        <v>0</v>
      </c>
      <c r="H21" s="0" t="n">
        <f aca="true">IF(AND($C21&lt;=3,$C21&lt;&gt;0),0,IF($C21=4,OFFSET(H21,-1,0)+1,OFFSET(H21,-1,0)))</f>
        <v>0</v>
      </c>
      <c r="I21" s="0" t="n">
        <f aca="true">IF(AND($C21&lt;=4,$C21&lt;&gt;0),0,IF(AND($C21="S",$X21&gt;0),OFFSET(I21,-1,0)+1,OFFSET(I21,-1,0)))</f>
        <v>0</v>
      </c>
      <c r="J21" s="0" t="n">
        <f aca="true">IF(OR($C21="S",$C21=0),0,MATCH(0,OFFSET($D21,1,$C21,ROW($C$59)-ROW($C21)),0))</f>
        <v>0</v>
      </c>
      <c r="K21" s="0" t="n">
        <f aca="true">IF(OR($C21="S",$C21=0),0,MATCH(OFFSET($D21,0,$C21)+IF($C21&lt;&gt;1,1,COUNTIF(QCI!$A$13:$A$24,ORÇAMENTO!E21)),OFFSET($D21,1,$C21,ROW($C$59)-ROW($C21)),0))</f>
        <v>0</v>
      </c>
      <c r="L21" s="204" t="str">
        <f aca="false">IF(OR($X21&gt;0,$C21=1,$C21=2,$C21=3,$C21=4),"F","")</f>
        <v/>
      </c>
      <c r="M21" s="205" t="s">
        <v>767</v>
      </c>
      <c r="N21" s="206" t="str">
        <f aca="false">CHOOSE(1+LOG(1+2*(C21=1)+4*(C21=2)+8*(C21=3)+16*(C21=4)+32*(C21="S"),2),"","Meta","Nível 2","Nível 3","Nível 4","Serviço")</f>
        <v>Serviço</v>
      </c>
      <c r="O21" s="207" t="str">
        <f aca="false">IF(OR($C21=0,$L21=""),"-",CONCATENATE(E21&amp;".",IF(AND($A$5&gt;=2,$C21&gt;=2),F21&amp;".",""),IF(AND($A$5&gt;=3,$C21&gt;=3),G21&amp;".",""),IF(AND($A$5&gt;=4,$C21&gt;=4),H21&amp;".",""),IF($C21="S",I21&amp;".","")))</f>
        <v>-</v>
      </c>
      <c r="P21" s="208" t="s">
        <v>771</v>
      </c>
      <c r="Q21" s="241" t="s">
        <v>827</v>
      </c>
      <c r="R21" s="240" t="s">
        <v>829</v>
      </c>
      <c r="S21" s="211" t="str">
        <f aca="true" t="array" ref="S21:S21">REFERENCIA.Unidade</f>
        <v>-</v>
      </c>
      <c r="T21" s="212" t="n">
        <f aca="true">OFFSET(CÁLCULO!H$15,ROW($T21)-ROW(T$15),0)</f>
        <v>1</v>
      </c>
      <c r="U21" s="213" t="n">
        <f aca="false">AG21</f>
        <v>0</v>
      </c>
      <c r="V21" s="214" t="s">
        <v>723</v>
      </c>
      <c r="W21" s="212" t="n">
        <f aca="false" t="array" ref="W21:W21">IF($C21="S",ROUND(IF(TIPOORCAMENTO="Proposto",ORÇAMENTO.CustoUnitario*(1+$AH21),ORÇAMENTO.PrecoUnitarioLicitado),15-13*$AF$10),0)</f>
        <v>0</v>
      </c>
      <c r="X21" s="215" t="n">
        <f aca="true" t="array" ref="X21:X21">IF($C21="S",IF(OR(Import.TipoArredondamento&lt;&gt;"TransfereGOV",ACOMPANHAMENTO="BM"),VTOTAL1,SUM(OFFSET(CÁLCULO!$AA$15,ROW($X21)-ROW($X$15),1):OFFSET(CÁLCULO!$AL$15,ROW($X21)-ROW($X$15),-1))),IF($C21=0,0,ROUND(SomaAgrup,15-13*$AF$11)))</f>
        <v>0</v>
      </c>
      <c r="Y21" s="216" t="s">
        <v>776</v>
      </c>
      <c r="Z21" s="0" t="str">
        <f aca="false">IF(AND($C21="S",$X21&gt;0),IF(ISBLANK($Y21),"RA",LEFT($Y21,2)),"")</f>
        <v/>
      </c>
      <c r="AA21" s="217" t="n">
        <f aca="true" t="array" ref="AA21:AA21">IF($C21="S",IF($Z21="CP",$X21,IF($Z21="RA",(($X21)*QCI!$AA$3),0)),SomaAgrup)</f>
        <v>0</v>
      </c>
      <c r="AB21" s="218" t="n">
        <f aca="true" t="array" ref="AB21:AB21">IF($C21="S",IF($Z21="OU",ROUND($X21,2),0),SomaAgrup)</f>
        <v>0</v>
      </c>
      <c r="AC21" s="219" t="str">
        <f aca="false" t="array" ref="AC21:AC21">IF($N21=""," ",
IF(AND($C21&lt;&gt;"S",OR($R21="",$R21="(digite a descrição aqui)")),"DESCRIÇÃO",
IF(AND($C21="S",OR($Q21&lt;&gt;"",$T21&gt;0,$U21&gt;0),$P21=""),"FONTE",
IF(AND($C21="S",$P21&lt;&gt;"",OR($T21&gt;0,$U21&gt;0),$Q21=""),"CÓDIGO",
IF(AND($C21="S",$P21&lt;&gt;"",$Q21&lt;&gt;"",$R21="(Código não identificado nas referências)"),"CÓDIGO N/ID",
IF(AND($C21="S",OR($R21="",$R21="(digite a descrição aqui)"),OR($Q21&lt;&gt;"",$T21&gt;0,$U21&gt;0)),"DESCRIÇÃO",
IF(AND($C21="S",$P21&lt;&gt;"",$Q21&lt;&gt;"",$S21=""),"UNIDADE",
IF(AND($C21="S",$P21&lt;&gt;"",$Q21&lt;&gt;"",$U21=0),"SEM CUSTO",
IF(AND(TIPOORCAMENTO="Licitado",$AL21=0,$AN21&gt;0),"SEM PREÇO",
IF(AND($C21="S",$P21&lt;&gt;"",$Q21&lt;&gt;"",$U21&gt;0,AND($V21&lt;&gt;"BDI 1",$V21&lt;&gt;"BDI 2",$V21&lt;&gt;"BDI 3")),IF(ISNUMBER($V21),"JUSTIFICAR BDI","BDI"),
IF(OR(AND(import.recurso="OGU",TIPOORCAMENTO="Proposto",LEFT($O$8,5)&lt;&gt;"(N/D:",$AG21&lt;&gt;"",ORÇAMENTO.CustoUnitario&gt;$AG21),AND(TIPOORCAMENTO="LICITADO",ORÇAMENTO.PrecoUnitarioLicitado&gt;$AN21)),"ACIMA REF.",
IF(AND($C21="S",$P21&lt;&gt;"",$Q21&lt;&gt;"",$T21=0,$U21&gt;0),"QUANT.",
IF(AND(Import.TipoArredondamento="TransfereGOV",$L21="F",$C21="S",LEN($Q21)&gt;13),"Código &gt;13",
IF(AND(Import.TipoArredondamento="TransfereGOV",$L21="F",$C21&lt;&gt;"S",LEN($R21)&gt;100),"Descrição &gt;100",
IF(AND(Import.TipoArredondamento="TransfereGOV",$L21="F",$C21="S",LEN($R21)&gt;500),"Descrição &gt;500",
IF(AND(Import.TipoArredondamento="TransfereGOV",$L21="F",$C21="S",LEFT(TRIM(UPPER($P21)),6)&lt;&gt;"SINAPI",ISNA(VLOOKUP(TRIM(UPPER($S21)),ListaTgov.Unidades,1,FALSE()))),"Unid. Não Disp",
" "))))))))))))))))</f>
        <v>SEM CUSTO</v>
      </c>
      <c r="AD21" s="0" t="str">
        <f aca="true">IF(C21&lt;=CRONO.NivelExibicao,MAX($AD$15:OFFSET(AD21,-1,0))+IF($C21&lt;&gt;1,1,MAX(1,COUNTIF(QCI!$A$13:$A$24,OFFSET($E21,-1,0)))),"")</f>
        <v/>
      </c>
      <c r="AE21" s="48" t="str">
        <f aca="false" t="array" ref="AE21:AE21">IF(AND($C21="S",ORÇAMENTO.CodBarra&lt;&gt;""),IF(ORÇAMENTO.Fonte="",ORÇAMENTO.CodBarra,CONCATENATE(ORÇAMENTO.Fonte," ",ORÇAMENTO.CodBarra)))</f>
        <v>Composição 02</v>
      </c>
      <c r="AF21" s="63" t="str">
        <f aca="true" t="array" ref="AF21:AF21">IF(ISERROR(ORÇAMENTO.BancoRef),"(abra o arquivo 'Referência "&amp;Excel_BuiltIn_Database&amp;".xlsm)",IF(OR($C21&lt;&gt;"S",ORÇAMENTO.CodBarra=""),"(Sem Código)",IF(ISERROR(MATCH($AE21,INDIRECT(ORÇAMENTO.BancoRef),0)),"(Código não identificado nas referências)",MATCH($AE21,INDIRECT(ORÇAMENTO.BancoRef),0))))</f>
        <v>(Código não identificado nas referências)</v>
      </c>
      <c r="AG21" s="220" t="n">
        <f aca="true" t="array" ref="AG21:AG21">ROUND(IF(DESONERACAO="sim",REFERENCIA.Desonerado,REFERENCIA.NaoDesonerado),2)</f>
        <v>0</v>
      </c>
      <c r="AH21" s="221" t="n">
        <f aca="false">ROUND(IF(ISNUMBER(ORÇAMENTO.OpcaoBDI),ORÇAMENTO.OpcaoBDI,IF(LEFT(ORÇAMENTO.OpcaoBDI,3)="BDI",HLOOKUP(ORÇAMENTO.OpcaoBDI,$F$4:$H$5,2,FALSE()),0)),15-11*$AF$9)</f>
        <v>0.25</v>
      </c>
      <c r="AJ21" s="222" t="n">
        <v>1</v>
      </c>
      <c r="AL21" s="223"/>
      <c r="AM21" s="224" t="n">
        <f aca="false">$X21</f>
        <v>0</v>
      </c>
      <c r="AN21" s="225" t="n">
        <f aca="false" t="array" ref="AN21:AN21">ROUND(ORÇAMENTO.CustoUnitario*(1+$AH21),2)</f>
        <v>0</v>
      </c>
    </row>
    <row r="22" customFormat="false" ht="12.75" hidden="false" customHeight="false" outlineLevel="0" collapsed="false">
      <c r="A22" s="0" t="n">
        <f aca="false">CHOOSE(1+LOG(1+2*(ORÇAMENTO.Nivel="Meta")+4*(ORÇAMENTO.Nivel="Nível 2")+8*(ORÇAMENTO.Nivel="Nível 3")+16*(ORÇAMENTO.Nivel="Nível 4")+32*(ORÇAMENTO.Nivel="Serviço"),2),0,1,2,3,4,"S")</f>
        <v>2</v>
      </c>
      <c r="B22" s="0" t="n">
        <f aca="true">IF(OR(C22="s",C22=0),OFFSET(B22,-1,0),C22)</f>
        <v>2</v>
      </c>
      <c r="C22" s="0" t="n">
        <f aca="true">IF(OFFSET(C22,-1,0)="L",1,IF(OFFSET(C22,-1,0)=1,2,IF(OR(A22="s",A22=0),"S",IF(AND(OFFSET(C22,-1,0)=2,A22=4),3,IF(AND(OR(OFFSET(C22,-1,0)="s",OFFSET(C22,-1,0)=0),A22&lt;&gt;"s",A22&gt;OFFSET(B22,-1,0)),OFFSET(B22,-1,0),A22)))))</f>
        <v>2</v>
      </c>
      <c r="D22" s="0" t="n">
        <f aca="false">IF(OR(C22="S",C22=0),0,IF(ISERROR(K22),J22,SMALL(J22:K22,1)))</f>
        <v>4</v>
      </c>
      <c r="E22" s="0" t="n">
        <f aca="true">IF($C22=1,OFFSET(E22,-1,0)+MAX(1,COUNTIF(QCI!$A$13:$A$24,OFFSET(ORÇAMENTO!E22,-1,0))),OFFSET(E22,-1,0))</f>
        <v>1</v>
      </c>
      <c r="F22" s="0" t="n">
        <f aca="true">IF($C22=1,0,IF($C22=2,OFFSET(F22,-1,0)+1,OFFSET(F22,-1,0)))</f>
        <v>3</v>
      </c>
      <c r="G22" s="0" t="n">
        <f aca="true">IF(AND($C22&lt;=2,$C22&lt;&gt;0),0,IF($C22=3,OFFSET(G22,-1,0)+1,OFFSET(G22,-1,0)))</f>
        <v>0</v>
      </c>
      <c r="H22" s="0" t="n">
        <f aca="true">IF(AND($C22&lt;=3,$C22&lt;&gt;0),0,IF($C22=4,OFFSET(H22,-1,0)+1,OFFSET(H22,-1,0)))</f>
        <v>0</v>
      </c>
      <c r="I22" s="0" t="n">
        <f aca="true">IF(AND($C22&lt;=4,$C22&lt;&gt;0),0,IF(AND($C22="S",$X22&gt;0),OFFSET(I22,-1,0)+1,OFFSET(I22,-1,0)))</f>
        <v>0</v>
      </c>
      <c r="J22" s="0" t="n">
        <f aca="true">IF(OR($C22="S",$C22=0),0,MATCH(0,OFFSET($D22,1,$C22,ROW($C$59)-ROW($C22)),0))</f>
        <v>37</v>
      </c>
      <c r="K22" s="0" t="n">
        <f aca="true">IF(OR($C22="S",$C22=0),0,MATCH(OFFSET($D22,0,$C22)+IF($C22&lt;&gt;1,1,COUNTIF(QCI!$A$13:$A$24,ORÇAMENTO!E22)),OFFSET($D22,1,$C22,ROW($C$59)-ROW($C22)),0))</f>
        <v>4</v>
      </c>
      <c r="L22" s="204" t="str">
        <f aca="false">IF(OR($X22&gt;0,$C22=1,$C22=2,$C22=3,$C22=4),"F","")</f>
        <v>F</v>
      </c>
      <c r="M22" s="205" t="s">
        <v>764</v>
      </c>
      <c r="N22" s="206" t="str">
        <f aca="false">CHOOSE(1+LOG(1+2*(C22=1)+4*(C22=2)+8*(C22=3)+16*(C22=4)+32*(C22="S"),2),"","Meta","Nível 2","Nível 3","Nível 4","Serviço")</f>
        <v>Nível 2</v>
      </c>
      <c r="O22" s="207" t="str">
        <f aca="false">IF(OR($C22=0,$L22=""),"-",CONCATENATE(E22&amp;".",IF(AND($A$5&gt;=2,$C22&gt;=2),F22&amp;".",""),IF(AND($A$5&gt;=3,$C22&gt;=3),G22&amp;".",""),IF(AND($A$5&gt;=4,$C22&gt;=4),H22&amp;".",""),IF($C22="S",I22&amp;".","")))</f>
        <v>1.3.</v>
      </c>
      <c r="P22" s="208" t="s">
        <v>768</v>
      </c>
      <c r="Q22" s="209"/>
      <c r="R22" s="240" t="s">
        <v>830</v>
      </c>
      <c r="S22" s="211" t="str">
        <f aca="true" t="array" ref="S22:S22">REFERENCIA.Unidade</f>
        <v>-</v>
      </c>
      <c r="T22" s="212" t="n">
        <f aca="true">OFFSET(CÁLCULO!H$15,ROW($T22)-ROW(T$15),0)</f>
        <v>0</v>
      </c>
      <c r="U22" s="213"/>
      <c r="V22" s="214" t="s">
        <v>723</v>
      </c>
      <c r="W22" s="212" t="n">
        <f aca="false" t="array" ref="W22:W22">IF($C22="S",ROUND(IF(TIPOORCAMENTO="Proposto",ORÇAMENTO.CustoUnitario*(1+$AH22),ORÇAMENTO.PrecoUnitarioLicitado),15-13*$AF$10),0)</f>
        <v>0</v>
      </c>
      <c r="X22" s="215" t="n">
        <f aca="true" t="array" ref="X22:X22">IF($C22="S",IF(OR(Import.TipoArredondamento&lt;&gt;"TransfereGOV",ACOMPANHAMENTO="BM"),VTOTAL1,SUM(OFFSET(CÁLCULO!$AA$15,ROW($X22)-ROW($X$15),1):OFFSET(CÁLCULO!$AL$15,ROW($X22)-ROW($X$15),-1))),IF($C22=0,0,ROUND(SomaAgrup,15-13*$AF$11)))</f>
        <v>0</v>
      </c>
      <c r="Y22" s="216" t="s">
        <v>776</v>
      </c>
      <c r="Z22" s="0" t="str">
        <f aca="false">IF(AND($C22="S",$X22&gt;0),IF(ISBLANK($Y22),"RA",LEFT($Y22,2)),"")</f>
        <v/>
      </c>
      <c r="AA22" s="217" t="n">
        <f aca="true" t="array" ref="AA22:AA22">IF($C22="S",IF($Z22="CP",$X22,IF($Z22="RA",(($X22)*QCI!$AA$3),0)),SomaAgrup)</f>
        <v>0</v>
      </c>
      <c r="AB22" s="218" t="n">
        <f aca="true" t="array" ref="AB22:AB22">IF($C22="S",IF($Z22="OU",ROUND($X22,2),0),SomaAgrup)</f>
        <v>0</v>
      </c>
      <c r="AC22" s="219" t="str">
        <f aca="false" t="array" ref="AC22:AC22">IF($N22=""," ",
IF(AND($C22&lt;&gt;"S",OR($R22="",$R22="(digite a descrição aqui)")),"DESCRIÇÃO",
IF(AND($C22="S",OR($Q22&lt;&gt;"",$T22&gt;0,$U22&gt;0),$P22=""),"FONTE",
IF(AND($C22="S",$P22&lt;&gt;"",OR($T22&gt;0,$U22&gt;0),$Q22=""),"CÓDIGO",
IF(AND($C22="S",$P22&lt;&gt;"",$Q22&lt;&gt;"",$R22="(Código não identificado nas referências)"),"CÓDIGO N/ID",
IF(AND($C22="S",OR($R22="",$R22="(digite a descrição aqui)"),OR($Q22&lt;&gt;"",$T22&gt;0,$U22&gt;0)),"DESCRIÇÃO",
IF(AND($C22="S",$P22&lt;&gt;"",$Q22&lt;&gt;"",$S22=""),"UNIDADE",
IF(AND($C22="S",$P22&lt;&gt;"",$Q22&lt;&gt;"",$U22=0),"SEM CUSTO",
IF(AND(TIPOORCAMENTO="Licitado",$AL22=0,$AN22&gt;0),"SEM PREÇO",
IF(AND($C22="S",$P22&lt;&gt;"",$Q22&lt;&gt;"",$U22&gt;0,AND($V22&lt;&gt;"BDI 1",$V22&lt;&gt;"BDI 2",$V22&lt;&gt;"BDI 3")),IF(ISNUMBER($V22),"JUSTIFICAR BDI","BDI"),
IF(OR(AND(import.recurso="OGU",TIPOORCAMENTO="Proposto",LEFT($O$8,5)&lt;&gt;"(N/D:",$AG22&lt;&gt;"",ORÇAMENTO.CustoUnitario&gt;$AG22),AND(TIPOORCAMENTO="LICITADO",ORÇAMENTO.PrecoUnitarioLicitado&gt;$AN22)),"ACIMA REF.",
IF(AND($C22="S",$P22&lt;&gt;"",$Q22&lt;&gt;"",$T22=0,$U22&gt;0),"QUANT.",
IF(AND(Import.TipoArredondamento="TransfereGOV",$L22="F",$C22="S",LEN($Q22)&gt;13),"Código &gt;13",
IF(AND(Import.TipoArredondamento="TransfereGOV",$L22="F",$C22&lt;&gt;"S",LEN($R22)&gt;100),"Descrição &gt;100",
IF(AND(Import.TipoArredondamento="TransfereGOV",$L22="F",$C22="S",LEN($R22)&gt;500),"Descrição &gt;500",
IF(AND(Import.TipoArredondamento="TransfereGOV",$L22="F",$C22="S",LEFT(TRIM(UPPER($P22)),6)&lt;&gt;"SINAPI",ISNA(VLOOKUP(TRIM(UPPER($S22)),ListaTgov.Unidades,1,FALSE()))),"Unid. Não Disp",
" "))))))))))))))))</f>
        <v> </v>
      </c>
      <c r="AD22" s="0" t="n">
        <f aca="true">IF(C22&lt;=CRONO.NivelExibicao,MAX($AD$15:OFFSET(AD22,-1,0))+IF($C22&lt;&gt;1,1,MAX(1,COUNTIF(QCI!$A$13:$A$24,OFFSET($E22,-1,0)))),"")</f>
        <v>4</v>
      </c>
      <c r="AE22" s="48" t="n">
        <f aca="false" t="array" ref="AE22:AE22">IF(AND($C22="S",ORÇAMENTO.CodBarra&lt;&gt;""),IF(ORÇAMENTO.Fonte="",ORÇAMENTO.CodBarra,CONCATENATE(ORÇAMENTO.Fonte," ",ORÇAMENTO.CodBarra)))</f>
        <v>0</v>
      </c>
      <c r="AF22" s="63" t="str">
        <f aca="true" t="array" ref="AF22:AF22">IF(ISERROR(ORÇAMENTO.BancoRef),"(abra o arquivo 'Referência "&amp;Excel_BuiltIn_Database&amp;".xlsm)",IF(OR($C22&lt;&gt;"S",ORÇAMENTO.CodBarra=""),"(Sem Código)",IF(ISERROR(MATCH($AE22,INDIRECT(ORÇAMENTO.BancoRef),0)),"(Código não identificado nas referências)",MATCH($AE22,INDIRECT(ORÇAMENTO.BancoRef),0))))</f>
        <v>(Sem Código)</v>
      </c>
      <c r="AG22" s="220" t="n">
        <f aca="true" t="array" ref="AG22:AG22">ROUND(IF(DESONERACAO="sim",REFERENCIA.Desonerado,REFERENCIA.NaoDesonerado),2)</f>
        <v>0</v>
      </c>
      <c r="AH22" s="221" t="n">
        <f aca="false">ROUND(IF(ISNUMBER(ORÇAMENTO.OpcaoBDI),ORÇAMENTO.OpcaoBDI,IF(LEFT(ORÇAMENTO.OpcaoBDI,3)="BDI",HLOOKUP(ORÇAMENTO.OpcaoBDI,$F$4:$H$5,2,FALSE()),0)),15-11*$AF$9)</f>
        <v>0.25</v>
      </c>
      <c r="AJ22" s="222"/>
      <c r="AL22" s="223"/>
      <c r="AM22" s="224" t="n">
        <f aca="false">$X22</f>
        <v>0</v>
      </c>
      <c r="AN22" s="225" t="n">
        <f aca="false" t="array" ref="AN22:AN22">ROUND(ORÇAMENTO.CustoUnitario*(1+$AH22),2)</f>
        <v>0</v>
      </c>
    </row>
    <row r="23" customFormat="false" ht="12.75" hidden="false" customHeight="false" outlineLevel="0" collapsed="false">
      <c r="A23" s="0" t="str">
        <f aca="false">CHOOSE(1+LOG(1+2*(ORÇAMENTO.Nivel="Meta")+4*(ORÇAMENTO.Nivel="Nível 2")+8*(ORÇAMENTO.Nivel="Nível 3")+16*(ORÇAMENTO.Nivel="Nível 4")+32*(ORÇAMENTO.Nivel="Serviço"),2),0,1,2,3,4,"S")</f>
        <v>S</v>
      </c>
      <c r="B23" s="0" t="n">
        <f aca="true">IF(OR(C23="s",C23=0),OFFSET(B23,-1,0),C23)</f>
        <v>2</v>
      </c>
      <c r="C23" s="0" t="str">
        <f aca="true">IF(OFFSET(C23,-1,0)="L",1,IF(OFFSET(C23,-1,0)=1,2,IF(OR(A23="s",A23=0),"S",IF(AND(OFFSET(C23,-1,0)=2,A23=4),3,IF(AND(OR(OFFSET(C23,-1,0)="s",OFFSET(C23,-1,0)=0),A23&lt;&gt;"s",A23&gt;OFFSET(B23,-1,0)),OFFSET(B23,-1,0),A23)))))</f>
        <v>S</v>
      </c>
      <c r="D23" s="0" t="n">
        <f aca="false">IF(OR(C23="S",C23=0),0,IF(ISERROR(K23),J23,SMALL(J23:K23,1)))</f>
        <v>0</v>
      </c>
      <c r="E23" s="0" t="n">
        <f aca="true">IF($C23=1,OFFSET(E23,-1,0)+MAX(1,COUNTIF(QCI!$A$13:$A$24,OFFSET(ORÇAMENTO!E23,-1,0))),OFFSET(E23,-1,0))</f>
        <v>1</v>
      </c>
      <c r="F23" s="0" t="n">
        <f aca="true">IF($C23=1,0,IF($C23=2,OFFSET(F23,-1,0)+1,OFFSET(F23,-1,0)))</f>
        <v>3</v>
      </c>
      <c r="G23" s="0" t="n">
        <f aca="true">IF(AND($C23&lt;=2,$C23&lt;&gt;0),0,IF($C23=3,OFFSET(G23,-1,0)+1,OFFSET(G23,-1,0)))</f>
        <v>0</v>
      </c>
      <c r="H23" s="0" t="n">
        <f aca="true">IF(AND($C23&lt;=3,$C23&lt;&gt;0),0,IF($C23=4,OFFSET(H23,-1,0)+1,OFFSET(H23,-1,0)))</f>
        <v>0</v>
      </c>
      <c r="I23" s="0" t="n">
        <f aca="true">IF(AND($C23&lt;=4,$C23&lt;&gt;0),0,IF(AND($C23="S",$X23&gt;0),OFFSET(I23,-1,0)+1,OFFSET(I23,-1,0)))</f>
        <v>0</v>
      </c>
      <c r="J23" s="0" t="n">
        <f aca="true">IF(OR($C23="S",$C23=0),0,MATCH(0,OFFSET($D23,1,$C23,ROW($C$59)-ROW($C23)),0))</f>
        <v>0</v>
      </c>
      <c r="K23" s="0" t="n">
        <f aca="true">IF(OR($C23="S",$C23=0),0,MATCH(OFFSET($D23,0,$C23)+IF($C23&lt;&gt;1,1,COUNTIF(QCI!$A$13:$A$24,ORÇAMENTO!E23)),OFFSET($D23,1,$C23,ROW($C$59)-ROW($C23)),0))</f>
        <v>0</v>
      </c>
      <c r="L23" s="204" t="str">
        <f aca="false">IF(OR($X23&gt;0,$C23=1,$C23=2,$C23=3,$C23=4),"F","")</f>
        <v/>
      </c>
      <c r="M23" s="205" t="s">
        <v>767</v>
      </c>
      <c r="N23" s="206" t="str">
        <f aca="false">CHOOSE(1+LOG(1+2*(C23=1)+4*(C23=2)+8*(C23=3)+16*(C23=4)+32*(C23="S"),2),"","Meta","Nível 2","Nível 3","Nível 4","Serviço")</f>
        <v>Serviço</v>
      </c>
      <c r="O23" s="207" t="str">
        <f aca="false">IF(OR($C23=0,$L23=""),"-",CONCATENATE(E23&amp;".",IF(AND($A$5&gt;=2,$C23&gt;=2),F23&amp;".",""),IF(AND($A$5&gt;=3,$C23&gt;=3),G23&amp;".",""),IF(AND($A$5&gt;=4,$C23&gt;=4),H23&amp;".",""),IF($C23="S",I23&amp;".","")))</f>
        <v>-</v>
      </c>
      <c r="P23" s="208" t="s">
        <v>768</v>
      </c>
      <c r="Q23" s="209" t="s">
        <v>831</v>
      </c>
      <c r="R23" s="240" t="str">
        <f aca="true" t="array" ref="R23:R23">IF($C23="S",REFERENCIA.Descricao,"(digite a descrição aqui)")</f>
        <v>(Código não identificado nas referências)</v>
      </c>
      <c r="S23" s="211" t="str">
        <f aca="true" t="array" ref="S23:S23">REFERENCIA.Unidade</f>
        <v>-</v>
      </c>
      <c r="T23" s="212" t="n">
        <f aca="true">OFFSET(CÁLCULO!H$15,ROW($T23)-ROW(T$15),0)</f>
        <v>7.28</v>
      </c>
      <c r="U23" s="213" t="n">
        <f aca="false">AG23</f>
        <v>0</v>
      </c>
      <c r="V23" s="214" t="s">
        <v>723</v>
      </c>
      <c r="W23" s="212" t="n">
        <f aca="false" t="array" ref="W23:W23">IF($C23="S",ROUND(IF(TIPOORCAMENTO="Proposto",ORÇAMENTO.CustoUnitario*(1+$AH23),ORÇAMENTO.PrecoUnitarioLicitado),15-13*$AF$10),0)</f>
        <v>0</v>
      </c>
      <c r="X23" s="215" t="n">
        <f aca="true" t="array" ref="X23:X23">IF($C23="S",IF(OR(Import.TipoArredondamento&lt;&gt;"TransfereGOV",ACOMPANHAMENTO="BM"),VTOTAL1,SUM(OFFSET(CÁLCULO!$AA$15,ROW($X23)-ROW($X$15),1):OFFSET(CÁLCULO!$AL$15,ROW($X23)-ROW($X$15),-1))),IF($C23=0,0,ROUND(SomaAgrup,15-13*$AF$11)))</f>
        <v>0</v>
      </c>
      <c r="Y23" s="216" t="s">
        <v>776</v>
      </c>
      <c r="Z23" s="0" t="str">
        <f aca="false">IF(AND($C23="S",$X23&gt;0),IF(ISBLANK($Y23),"RA",LEFT($Y23,2)),"")</f>
        <v/>
      </c>
      <c r="AA23" s="217" t="n">
        <f aca="true" t="array" ref="AA23:AA23">IF($C23="S",IF($Z23="CP",$X23,IF($Z23="RA",(($X23)*QCI!$AA$3),0)),SomaAgrup)</f>
        <v>0</v>
      </c>
      <c r="AB23" s="218" t="n">
        <f aca="true" t="array" ref="AB23:AB23">IF($C23="S",IF($Z23="OU",ROUND($X23,2),0),SomaAgrup)</f>
        <v>0</v>
      </c>
      <c r="AC23" s="219" t="str">
        <f aca="false" t="array" ref="AC23:AC23">IF($N23=""," ",
IF(AND($C23&lt;&gt;"S",OR($R23="",$R23="(digite a descrição aqui)")),"DESCRIÇÃO",
IF(AND($C23="S",OR($Q23&lt;&gt;"",$T23&gt;0,$U23&gt;0),$P23=""),"FONTE",
IF(AND($C23="S",$P23&lt;&gt;"",OR($T23&gt;0,$U23&gt;0),$Q23=""),"CÓDIGO",
IF(AND($C23="S",$P23&lt;&gt;"",$Q23&lt;&gt;"",$R23="(Código não identificado nas referências)"),"CÓDIGO N/ID",
IF(AND($C23="S",OR($R23="",$R23="(digite a descrição aqui)"),OR($Q23&lt;&gt;"",$T23&gt;0,$U23&gt;0)),"DESCRIÇÃO",
IF(AND($C23="S",$P23&lt;&gt;"",$Q23&lt;&gt;"",$S23=""),"UNIDADE",
IF(AND($C23="S",$P23&lt;&gt;"",$Q23&lt;&gt;"",$U23=0),"SEM CUSTO",
IF(AND(TIPOORCAMENTO="Licitado",$AL23=0,$AN23&gt;0),"SEM PREÇO",
IF(AND($C23="S",$P23&lt;&gt;"",$Q23&lt;&gt;"",$U23&gt;0,AND($V23&lt;&gt;"BDI 1",$V23&lt;&gt;"BDI 2",$V23&lt;&gt;"BDI 3")),IF(ISNUMBER($V23),"JUSTIFICAR BDI","BDI"),
IF(OR(AND(import.recurso="OGU",TIPOORCAMENTO="Proposto",LEFT($O$8,5)&lt;&gt;"(N/D:",$AG23&lt;&gt;"",ORÇAMENTO.CustoUnitario&gt;$AG23),AND(TIPOORCAMENTO="LICITADO",ORÇAMENTO.PrecoUnitarioLicitado&gt;$AN23)),"ACIMA REF.",
IF(AND($C23="S",$P23&lt;&gt;"",$Q23&lt;&gt;"",$T23=0,$U23&gt;0),"QUANT.",
IF(AND(Import.TipoArredondamento="TransfereGOV",$L23="F",$C23="S",LEN($Q23)&gt;13),"Código &gt;13",
IF(AND(Import.TipoArredondamento="TransfereGOV",$L23="F",$C23&lt;&gt;"S",LEN($R23)&gt;100),"Descrição &gt;100",
IF(AND(Import.TipoArredondamento="TransfereGOV",$L23="F",$C23="S",LEN($R23)&gt;500),"Descrição &gt;500",
IF(AND(Import.TipoArredondamento="TransfereGOV",$L23="F",$C23="S",LEFT(TRIM(UPPER($P23)),6)&lt;&gt;"SINAPI",ISNA(VLOOKUP(TRIM(UPPER($S23)),ListaTgov.Unidades,1,FALSE()))),"Unid. Não Disp",
" "))))))))))))))))</f>
        <v>CÓDIGO N/ID</v>
      </c>
      <c r="AD23" s="0" t="str">
        <f aca="true">IF(C23&lt;=CRONO.NivelExibicao,MAX($AD$15:OFFSET(AD23,-1,0))+IF($C23&lt;&gt;1,1,MAX(1,COUNTIF(QCI!$A$13:$A$24,OFFSET($E23,-1,0)))),"")</f>
        <v/>
      </c>
      <c r="AE23" s="48" t="str">
        <f aca="false" t="array" ref="AE23:AE23">IF(AND($C23="S",ORÇAMENTO.CodBarra&lt;&gt;""),IF(ORÇAMENTO.Fonte="",ORÇAMENTO.CodBarra,CONCATENATE(ORÇAMENTO.Fonte," ",ORÇAMENTO.CodBarra)))</f>
        <v>SINAPI 103689</v>
      </c>
      <c r="AF23" s="63" t="str">
        <f aca="true" t="array" ref="AF23:AF23">IF(ISERROR(ORÇAMENTO.BancoRef),"(abra o arquivo 'Referência "&amp;Excel_BuiltIn_Database&amp;".xlsm)",IF(OR($C23&lt;&gt;"S",ORÇAMENTO.CodBarra=""),"(Sem Código)",IF(ISERROR(MATCH($AE23,INDIRECT(ORÇAMENTO.BancoRef),0)),"(Código não identificado nas referências)",MATCH($AE23,INDIRECT(ORÇAMENTO.BancoRef),0))))</f>
        <v>(Código não identificado nas referências)</v>
      </c>
      <c r="AG23" s="220" t="n">
        <f aca="true" t="array" ref="AG23:AG23">ROUND(IF(DESONERACAO="sim",REFERENCIA.Desonerado,REFERENCIA.NaoDesonerado),2)</f>
        <v>0</v>
      </c>
      <c r="AH23" s="221" t="n">
        <f aca="false">ROUND(IF(ISNUMBER(ORÇAMENTO.OpcaoBDI),ORÇAMENTO.OpcaoBDI,IF(LEFT(ORÇAMENTO.OpcaoBDI,3)="BDI",HLOOKUP(ORÇAMENTO.OpcaoBDI,$F$4:$H$5,2,FALSE()),0)),15-11*$AF$9)</f>
        <v>0.25</v>
      </c>
      <c r="AJ23" s="222" t="n">
        <f aca="false">(3.6*1.8)+(1*0.8)</f>
        <v>7.28</v>
      </c>
      <c r="AL23" s="223"/>
      <c r="AM23" s="224" t="n">
        <f aca="false">$X23</f>
        <v>0</v>
      </c>
      <c r="AN23" s="225" t="n">
        <f aca="false" t="array" ref="AN23:AN23">ROUND(ORÇAMENTO.CustoUnitario*(1+$AH23),2)</f>
        <v>0</v>
      </c>
    </row>
    <row r="24" customFormat="false" ht="12.75" hidden="false" customHeight="false" outlineLevel="0" collapsed="false">
      <c r="A24" s="0" t="str">
        <f aca="false">CHOOSE(1+LOG(1+2*(ORÇAMENTO.Nivel="Meta")+4*(ORÇAMENTO.Nivel="Nível 2")+8*(ORÇAMENTO.Nivel="Nível 3")+16*(ORÇAMENTO.Nivel="Nível 4")+32*(ORÇAMENTO.Nivel="Serviço"),2),0,1,2,3,4,"S")</f>
        <v>S</v>
      </c>
      <c r="B24" s="0" t="n">
        <f aca="true">IF(OR(C24="s",C24=0),OFFSET(B24,-1,0),C24)</f>
        <v>2</v>
      </c>
      <c r="C24" s="0" t="str">
        <f aca="true">IF(OFFSET(C24,-1,0)="L",1,IF(OFFSET(C24,-1,0)=1,2,IF(OR(A24="s",A24=0),"S",IF(AND(OFFSET(C24,-1,0)=2,A24=4),3,IF(AND(OR(OFFSET(C24,-1,0)="s",OFFSET(C24,-1,0)=0),A24&lt;&gt;"s",A24&gt;OFFSET(B24,-1,0)),OFFSET(B24,-1,0),A24)))))</f>
        <v>S</v>
      </c>
      <c r="D24" s="0" t="n">
        <f aca="false">IF(OR(C24="S",C24=0),0,IF(ISERROR(K24),J24,SMALL(J24:K24,1)))</f>
        <v>0</v>
      </c>
      <c r="E24" s="0" t="n">
        <f aca="true">IF($C24=1,OFFSET(E24,-1,0)+MAX(1,COUNTIF(QCI!$A$13:$A$24,OFFSET(ORÇAMENTO!E24,-1,0))),OFFSET(E24,-1,0))</f>
        <v>1</v>
      </c>
      <c r="F24" s="0" t="n">
        <f aca="true">IF($C24=1,0,IF($C24=2,OFFSET(F24,-1,0)+1,OFFSET(F24,-1,0)))</f>
        <v>3</v>
      </c>
      <c r="G24" s="0" t="n">
        <f aca="true">IF(AND($C24&lt;=2,$C24&lt;&gt;0),0,IF($C24=3,OFFSET(G24,-1,0)+1,OFFSET(G24,-1,0)))</f>
        <v>0</v>
      </c>
      <c r="H24" s="0" t="n">
        <f aca="true">IF(AND($C24&lt;=3,$C24&lt;&gt;0),0,IF($C24=4,OFFSET(H24,-1,0)+1,OFFSET(H24,-1,0)))</f>
        <v>0</v>
      </c>
      <c r="I24" s="0" t="n">
        <f aca="true">IF(AND($C24&lt;=4,$C24&lt;&gt;0),0,IF(AND($C24="S",$X24&gt;0),OFFSET(I24,-1,0)+1,OFFSET(I24,-1,0)))</f>
        <v>0</v>
      </c>
      <c r="J24" s="0" t="n">
        <f aca="true">IF(OR($C24="S",$C24=0),0,MATCH(0,OFFSET($D24,1,$C24,ROW($C$59)-ROW($C24)),0))</f>
        <v>0</v>
      </c>
      <c r="K24" s="0" t="n">
        <f aca="true">IF(OR($C24="S",$C24=0),0,MATCH(OFFSET($D24,0,$C24)+IF($C24&lt;&gt;1,1,COUNTIF(QCI!$A$13:$A$24,ORÇAMENTO!E24)),OFFSET($D24,1,$C24,ROW($C$59)-ROW($C24)),0))</f>
        <v>0</v>
      </c>
      <c r="L24" s="204" t="str">
        <f aca="false">IF(OR($X24&gt;0,$C24=1,$C24=2,$C24=3,$C24=4),"F","")</f>
        <v/>
      </c>
      <c r="M24" s="205" t="s">
        <v>767</v>
      </c>
      <c r="N24" s="206" t="str">
        <f aca="false">CHOOSE(1+LOG(1+2*(C24=1)+4*(C24=2)+8*(C24=3)+16*(C24=4)+32*(C24="S"),2),"","Meta","Nível 2","Nível 3","Nível 4","Serviço")</f>
        <v>Serviço</v>
      </c>
      <c r="O24" s="207" t="str">
        <f aca="false">IF(OR($C24=0,$L24=""),"-",CONCATENATE(E24&amp;".",IF(AND($A$5&gt;=2,$C24&gt;=2),F24&amp;".",""),IF(AND($A$5&gt;=3,$C24&gt;=3),G24&amp;".",""),IF(AND($A$5&gt;=4,$C24&gt;=4),H24&amp;".",""),IF($C24="S",I24&amp;".","")))</f>
        <v>-</v>
      </c>
      <c r="P24" s="208" t="s">
        <v>771</v>
      </c>
      <c r="Q24" s="241" t="s">
        <v>832</v>
      </c>
      <c r="R24" s="210" t="str">
        <f aca="true" t="array" ref="R24:R24">IF($C24="S",REFERENCIA.Descricao,"(digite a descrição aqui)")</f>
        <v>(Código não identificado nas referências)</v>
      </c>
      <c r="S24" s="211" t="str">
        <f aca="true" t="array" ref="S24:S24">REFERENCIA.Unidade</f>
        <v>-</v>
      </c>
      <c r="T24" s="212" t="n">
        <f aca="true">OFFSET(CÁLCULO!H$15,ROW($T24)-ROW(T$15),0)</f>
        <v>1</v>
      </c>
      <c r="U24" s="213" t="n">
        <f aca="false">AG24</f>
        <v>0</v>
      </c>
      <c r="V24" s="214" t="s">
        <v>723</v>
      </c>
      <c r="W24" s="212" t="n">
        <f aca="false" t="array" ref="W24:W24">IF($C24="S",ROUND(IF(TIPOORCAMENTO="Proposto",ORÇAMENTO.CustoUnitario*(1+$AH24),ORÇAMENTO.PrecoUnitarioLicitado),15-13*$AF$10),0)</f>
        <v>0</v>
      </c>
      <c r="X24" s="215" t="n">
        <f aca="true" t="array" ref="X24:X24">IF($C24="S",IF(OR(Import.TipoArredondamento&lt;&gt;"TransfereGOV",ACOMPANHAMENTO="BM"),VTOTAL1,SUM(OFFSET(CÁLCULO!$AA$15,ROW($X24)-ROW($X$15),1):OFFSET(CÁLCULO!$AL$15,ROW($X24)-ROW($X$15),-1))),IF($C24=0,0,ROUND(SomaAgrup,15-13*$AF$11)))</f>
        <v>0</v>
      </c>
      <c r="Y24" s="216" t="s">
        <v>776</v>
      </c>
      <c r="Z24" s="0" t="str">
        <f aca="false">IF(AND($C24="S",$X24&gt;0),IF(ISBLANK($Y24),"RA",LEFT($Y24,2)),"")</f>
        <v/>
      </c>
      <c r="AA24" s="217" t="n">
        <f aca="true" t="array" ref="AA24:AA24">IF($C24="S",IF($Z24="CP",$X24,IF($Z24="RA",(($X24)*QCI!$AA$3),0)),SomaAgrup)</f>
        <v>0</v>
      </c>
      <c r="AB24" s="218" t="n">
        <f aca="true" t="array" ref="AB24:AB24">IF($C24="S",IF($Z24="OU",ROUND($X24,2),0),SomaAgrup)</f>
        <v>0</v>
      </c>
      <c r="AC24" s="219" t="str">
        <f aca="false" t="array" ref="AC24:AC24">IF($N24=""," ",
IF(AND($C24&lt;&gt;"S",OR($R24="",$R24="(digite a descrição aqui)")),"DESCRIÇÃO",
IF(AND($C24="S",OR($Q24&lt;&gt;"",$T24&gt;0,$U24&gt;0),$P24=""),"FONTE",
IF(AND($C24="S",$P24&lt;&gt;"",OR($T24&gt;0,$U24&gt;0),$Q24=""),"CÓDIGO",
IF(AND($C24="S",$P24&lt;&gt;"",$Q24&lt;&gt;"",$R24="(Código não identificado nas referências)"),"CÓDIGO N/ID",
IF(AND($C24="S",OR($R24="",$R24="(digite a descrição aqui)"),OR($Q24&lt;&gt;"",$T24&gt;0,$U24&gt;0)),"DESCRIÇÃO",
IF(AND($C24="S",$P24&lt;&gt;"",$Q24&lt;&gt;"",$S24=""),"UNIDADE",
IF(AND($C24="S",$P24&lt;&gt;"",$Q24&lt;&gt;"",$U24=0),"SEM CUSTO",
IF(AND(TIPOORCAMENTO="Licitado",$AL24=0,$AN24&gt;0),"SEM PREÇO",
IF(AND($C24="S",$P24&lt;&gt;"",$Q24&lt;&gt;"",$U24&gt;0,AND($V24&lt;&gt;"BDI 1",$V24&lt;&gt;"BDI 2",$V24&lt;&gt;"BDI 3")),IF(ISNUMBER($V24),"JUSTIFICAR BDI","BDI"),
IF(OR(AND(import.recurso="OGU",TIPOORCAMENTO="Proposto",LEFT($O$8,5)&lt;&gt;"(N/D:",$AG24&lt;&gt;"",ORÇAMENTO.CustoUnitario&gt;$AG24),AND(TIPOORCAMENTO="LICITADO",ORÇAMENTO.PrecoUnitarioLicitado&gt;$AN24)),"ACIMA REF.",
IF(AND($C24="S",$P24&lt;&gt;"",$Q24&lt;&gt;"",$T24=0,$U24&gt;0),"QUANT.",
IF(AND(Import.TipoArredondamento="TransfereGOV",$L24="F",$C24="S",LEN($Q24)&gt;13),"Código &gt;13",
IF(AND(Import.TipoArredondamento="TransfereGOV",$L24="F",$C24&lt;&gt;"S",LEN($R24)&gt;100),"Descrição &gt;100",
IF(AND(Import.TipoArredondamento="TransfereGOV",$L24="F",$C24="S",LEN($R24)&gt;500),"Descrição &gt;500",
IF(AND(Import.TipoArredondamento="TransfereGOV",$L24="F",$C24="S",LEFT(TRIM(UPPER($P24)),6)&lt;&gt;"SINAPI",ISNA(VLOOKUP(TRIM(UPPER($S24)),ListaTgov.Unidades,1,FALSE()))),"Unid. Não Disp",
" "))))))))))))))))</f>
        <v>CÓDIGO N/ID</v>
      </c>
      <c r="AD24" s="0" t="str">
        <f aca="true">IF(C24&lt;=CRONO.NivelExibicao,MAX($AD$15:OFFSET(AD24,-1,0))+IF($C24&lt;&gt;1,1,MAX(1,COUNTIF(QCI!$A$13:$A$24,OFFSET($E24,-1,0)))),"")</f>
        <v/>
      </c>
      <c r="AE24" s="48" t="str">
        <f aca="false" t="array" ref="AE24:AE24">IF(AND($C24="S",ORÇAMENTO.CodBarra&lt;&gt;""),IF(ORÇAMENTO.Fonte="",ORÇAMENTO.CodBarra,CONCATENATE(ORÇAMENTO.Fonte," ",ORÇAMENTO.CodBarra)))</f>
        <v>Composição 08</v>
      </c>
      <c r="AF24" s="63" t="str">
        <f aca="true" t="array" ref="AF24:AF24">IF(ISERROR(ORÇAMENTO.BancoRef),"(abra o arquivo 'Referência "&amp;Excel_BuiltIn_Database&amp;".xlsm)",IF(OR($C24&lt;&gt;"S",ORÇAMENTO.CodBarra=""),"(Sem Código)",IF(ISERROR(MATCH($AE24,INDIRECT(ORÇAMENTO.BancoRef),0)),"(Código não identificado nas referências)",MATCH($AE24,INDIRECT(ORÇAMENTO.BancoRef),0))))</f>
        <v>(Código não identificado nas referências)</v>
      </c>
      <c r="AG24" s="220" t="n">
        <f aca="true" t="array" ref="AG24:AG24">ROUND(IF(DESONERACAO="sim",REFERENCIA.Desonerado,REFERENCIA.NaoDesonerado),2)</f>
        <v>0</v>
      </c>
      <c r="AH24" s="221" t="n">
        <f aca="false">ROUND(IF(ISNUMBER(ORÇAMENTO.OpcaoBDI),ORÇAMENTO.OpcaoBDI,IF(LEFT(ORÇAMENTO.OpcaoBDI,3)="BDI",HLOOKUP(ORÇAMENTO.OpcaoBDI,$F$4:$H$5,2,FALSE()),0)),15-11*$AF$9)</f>
        <v>0.25</v>
      </c>
      <c r="AJ24" s="222" t="n">
        <v>1</v>
      </c>
      <c r="AL24" s="223"/>
      <c r="AM24" s="224" t="n">
        <f aca="false">$X24</f>
        <v>0</v>
      </c>
      <c r="AN24" s="225" t="n">
        <f aca="false" t="array" ref="AN24:AN24">ROUND(ORÇAMENTO.CustoUnitario*(1+$AH24),2)</f>
        <v>0</v>
      </c>
    </row>
    <row r="25" customFormat="false" ht="12.75" hidden="false" customHeight="false" outlineLevel="0" collapsed="false">
      <c r="A25" s="0" t="str">
        <f aca="false">CHOOSE(1+LOG(1+2*(ORÇAMENTO.Nivel="Meta")+4*(ORÇAMENTO.Nivel="Nível 2")+8*(ORÇAMENTO.Nivel="Nível 3")+16*(ORÇAMENTO.Nivel="Nível 4")+32*(ORÇAMENTO.Nivel="Serviço"),2),0,1,2,3,4,"S")</f>
        <v>S</v>
      </c>
      <c r="B25" s="0" t="n">
        <f aca="true">IF(OR(C25="s",C25=0),OFFSET(B25,-1,0),C25)</f>
        <v>2</v>
      </c>
      <c r="C25" s="0" t="str">
        <f aca="true">IF(OFFSET(C25,-1,0)="L",1,IF(OFFSET(C25,-1,0)=1,2,IF(OR(A25="s",A25=0),"S",IF(AND(OFFSET(C25,-1,0)=2,A25=4),3,IF(AND(OR(OFFSET(C25,-1,0)="s",OFFSET(C25,-1,0)=0),A25&lt;&gt;"s",A25&gt;OFFSET(B25,-1,0)),OFFSET(B25,-1,0),A25)))))</f>
        <v>S</v>
      </c>
      <c r="D25" s="0" t="n">
        <f aca="false">IF(OR(C25="S",C25=0),0,IF(ISERROR(K25),J25,SMALL(J25:K25,1)))</f>
        <v>0</v>
      </c>
      <c r="E25" s="0" t="n">
        <f aca="true">IF($C25=1,OFFSET(E25,-1,0)+MAX(1,COUNTIF(QCI!$A$13:$A$24,OFFSET(ORÇAMENTO!E25,-1,0))),OFFSET(E25,-1,0))</f>
        <v>1</v>
      </c>
      <c r="F25" s="0" t="n">
        <f aca="true">IF($C25=1,0,IF($C25=2,OFFSET(F25,-1,0)+1,OFFSET(F25,-1,0)))</f>
        <v>3</v>
      </c>
      <c r="G25" s="0" t="n">
        <f aca="true">IF(AND($C25&lt;=2,$C25&lt;&gt;0),0,IF($C25=3,OFFSET(G25,-1,0)+1,OFFSET(G25,-1,0)))</f>
        <v>0</v>
      </c>
      <c r="H25" s="0" t="n">
        <f aca="true">IF(AND($C25&lt;=3,$C25&lt;&gt;0),0,IF($C25=4,OFFSET(H25,-1,0)+1,OFFSET(H25,-1,0)))</f>
        <v>0</v>
      </c>
      <c r="I25" s="0" t="n">
        <f aca="true">IF(AND($C25&lt;=4,$C25&lt;&gt;0),0,IF(AND($C25="S",$X25&gt;0),OFFSET(I25,-1,0)+1,OFFSET(I25,-1,0)))</f>
        <v>0</v>
      </c>
      <c r="J25" s="0" t="n">
        <f aca="true">IF(OR($C25="S",$C25=0),0,MATCH(0,OFFSET($D25,1,$C25,ROW($C$59)-ROW($C25)),0))</f>
        <v>0</v>
      </c>
      <c r="K25" s="0" t="n">
        <f aca="true">IF(OR($C25="S",$C25=0),0,MATCH(OFFSET($D25,0,$C25)+IF($C25&lt;&gt;1,1,COUNTIF(QCI!$A$13:$A$24,ORÇAMENTO!E25)),OFFSET($D25,1,$C25,ROW($C$59)-ROW($C25)),0))</f>
        <v>0</v>
      </c>
      <c r="L25" s="204" t="str">
        <f aca="false">IF(OR($X25&gt;0,$C25=1,$C25=2,$C25=3,$C25=4),"F","")</f>
        <v/>
      </c>
      <c r="M25" s="205" t="s">
        <v>767</v>
      </c>
      <c r="N25" s="206" t="str">
        <f aca="false">CHOOSE(1+LOG(1+2*(C25=1)+4*(C25=2)+8*(C25=3)+16*(C25=4)+32*(C25="S"),2),"","Meta","Nível 2","Nível 3","Nível 4","Serviço")</f>
        <v>Serviço</v>
      </c>
      <c r="O25" s="207" t="str">
        <f aca="false">IF(OR($C25=0,$L25=""),"-",CONCATENATE(E25&amp;".",IF(AND($A$5&gt;=2,$C25&gt;=2),F25&amp;".",""),IF(AND($A$5&gt;=3,$C25&gt;=3),G25&amp;".",""),IF(AND($A$5&gt;=4,$C25&gt;=4),H25&amp;".",""),IF($C25="S",I25&amp;".","")))</f>
        <v>-</v>
      </c>
      <c r="P25" s="208" t="s">
        <v>771</v>
      </c>
      <c r="Q25" s="241" t="s">
        <v>833</v>
      </c>
      <c r="R25" s="210" t="str">
        <f aca="true" t="array" ref="R25:R25">IF($C25="S",REFERENCIA.Descricao,"(digite a descrição aqui)")</f>
        <v>(Código não identificado nas referências)</v>
      </c>
      <c r="S25" s="211" t="str">
        <f aca="true" t="array" ref="S25:S25">REFERENCIA.Unidade</f>
        <v>-</v>
      </c>
      <c r="T25" s="212" t="n">
        <f aca="true">OFFSET(CÁLCULO!H$15,ROW($T25)-ROW(T$15),0)</f>
        <v>1</v>
      </c>
      <c r="U25" s="213" t="n">
        <f aca="false">AG25</f>
        <v>0</v>
      </c>
      <c r="V25" s="214" t="s">
        <v>723</v>
      </c>
      <c r="W25" s="212" t="n">
        <f aca="false" t="array" ref="W25:W25">IF($C25="S",ROUND(IF(TIPOORCAMENTO="Proposto",ORÇAMENTO.CustoUnitario*(1+$AH25),ORÇAMENTO.PrecoUnitarioLicitado),15-13*$AF$10),0)</f>
        <v>0</v>
      </c>
      <c r="X25" s="215" t="n">
        <f aca="true" t="array" ref="X25:X25">IF($C25="S",IF(OR(Import.TipoArredondamento&lt;&gt;"TransfereGOV",ACOMPANHAMENTO="BM"),VTOTAL1,SUM(OFFSET(CÁLCULO!$AA$15,ROW($X25)-ROW($X$15),1):OFFSET(CÁLCULO!$AL$15,ROW($X25)-ROW($X$15),-1))),IF($C25=0,0,ROUND(SomaAgrup,15-13*$AF$11)))</f>
        <v>0</v>
      </c>
      <c r="Y25" s="216" t="s">
        <v>776</v>
      </c>
      <c r="Z25" s="0" t="str">
        <f aca="false">IF(AND($C25="S",$X25&gt;0),IF(ISBLANK($Y25),"RA",LEFT($Y25,2)),"")</f>
        <v/>
      </c>
      <c r="AA25" s="217" t="n">
        <f aca="true" t="array" ref="AA25:AA25">IF($C25="S",IF($Z25="CP",$X25,IF($Z25="RA",(($X25)*QCI!$AA$3),0)),SomaAgrup)</f>
        <v>0</v>
      </c>
      <c r="AB25" s="218" t="n">
        <f aca="true" t="array" ref="AB25:AB25">IF($C25="S",IF($Z25="OU",ROUND($X25,2),0),SomaAgrup)</f>
        <v>0</v>
      </c>
      <c r="AC25" s="219" t="str">
        <f aca="false" t="array" ref="AC25:AC25">IF($N25=""," ",
IF(AND($C25&lt;&gt;"S",OR($R25="",$R25="(digite a descrição aqui)")),"DESCRIÇÃO",
IF(AND($C25="S",OR($Q25&lt;&gt;"",$T25&gt;0,$U25&gt;0),$P25=""),"FONTE",
IF(AND($C25="S",$P25&lt;&gt;"",OR($T25&gt;0,$U25&gt;0),$Q25=""),"CÓDIGO",
IF(AND($C25="S",$P25&lt;&gt;"",$Q25&lt;&gt;"",$R25="(Código não identificado nas referências)"),"CÓDIGO N/ID",
IF(AND($C25="S",OR($R25="",$R25="(digite a descrição aqui)"),OR($Q25&lt;&gt;"",$T25&gt;0,$U25&gt;0)),"DESCRIÇÃO",
IF(AND($C25="S",$P25&lt;&gt;"",$Q25&lt;&gt;"",$S25=""),"UNIDADE",
IF(AND($C25="S",$P25&lt;&gt;"",$Q25&lt;&gt;"",$U25=0),"SEM CUSTO",
IF(AND(TIPOORCAMENTO="Licitado",$AL25=0,$AN25&gt;0),"SEM PREÇO",
IF(AND($C25="S",$P25&lt;&gt;"",$Q25&lt;&gt;"",$U25&gt;0,AND($V25&lt;&gt;"BDI 1",$V25&lt;&gt;"BDI 2",$V25&lt;&gt;"BDI 3")),IF(ISNUMBER($V25),"JUSTIFICAR BDI","BDI"),
IF(OR(AND(import.recurso="OGU",TIPOORCAMENTO="Proposto",LEFT($O$8,5)&lt;&gt;"(N/D:",$AG25&lt;&gt;"",ORÇAMENTO.CustoUnitario&gt;$AG25),AND(TIPOORCAMENTO="LICITADO",ORÇAMENTO.PrecoUnitarioLicitado&gt;$AN25)),"ACIMA REF.",
IF(AND($C25="S",$P25&lt;&gt;"",$Q25&lt;&gt;"",$T25=0,$U25&gt;0),"QUANT.",
IF(AND(Import.TipoArredondamento="TransfereGOV",$L25="F",$C25="S",LEN($Q25)&gt;13),"Código &gt;13",
IF(AND(Import.TipoArredondamento="TransfereGOV",$L25="F",$C25&lt;&gt;"S",LEN($R25)&gt;100),"Descrição &gt;100",
IF(AND(Import.TipoArredondamento="TransfereGOV",$L25="F",$C25="S",LEN($R25)&gt;500),"Descrição &gt;500",
IF(AND(Import.TipoArredondamento="TransfereGOV",$L25="F",$C25="S",LEFT(TRIM(UPPER($P25)),6)&lt;&gt;"SINAPI",ISNA(VLOOKUP(TRIM(UPPER($S25)),ListaTgov.Unidades,1,FALSE()))),"Unid. Não Disp",
" "))))))))))))))))</f>
        <v>CÓDIGO N/ID</v>
      </c>
      <c r="AD25" s="0" t="str">
        <f aca="true">IF(C25&lt;=CRONO.NivelExibicao,MAX($AD$15:OFFSET(AD25,-1,0))+IF($C25&lt;&gt;1,1,MAX(1,COUNTIF(QCI!$A$13:$A$24,OFFSET($E25,-1,0)))),"")</f>
        <v/>
      </c>
      <c r="AE25" s="48" t="str">
        <f aca="false" t="array" ref="AE25:AE25">IF(AND($C25="S",ORÇAMENTO.CodBarra&lt;&gt;""),IF(ORÇAMENTO.Fonte="",ORÇAMENTO.CodBarra,CONCATENATE(ORÇAMENTO.Fonte," ",ORÇAMENTO.CodBarra)))</f>
        <v>Composição 09</v>
      </c>
      <c r="AF25" s="63" t="str">
        <f aca="true" t="array" ref="AF25:AF25">IF(ISERROR(ORÇAMENTO.BancoRef),"(abra o arquivo 'Referência "&amp;Excel_BuiltIn_Database&amp;".xlsm)",IF(OR($C25&lt;&gt;"S",ORÇAMENTO.CodBarra=""),"(Sem Código)",IF(ISERROR(MATCH($AE25,INDIRECT(ORÇAMENTO.BancoRef),0)),"(Código não identificado nas referências)",MATCH($AE25,INDIRECT(ORÇAMENTO.BancoRef),0))))</f>
        <v>(Código não identificado nas referências)</v>
      </c>
      <c r="AG25" s="220" t="n">
        <f aca="true" t="array" ref="AG25:AG25">ROUND(IF(DESONERACAO="sim",REFERENCIA.Desonerado,REFERENCIA.NaoDesonerado),2)</f>
        <v>0</v>
      </c>
      <c r="AH25" s="221" t="n">
        <f aca="false">ROUND(IF(ISNUMBER(ORÇAMENTO.OpcaoBDI),ORÇAMENTO.OpcaoBDI,IF(LEFT(ORÇAMENTO.OpcaoBDI,3)="BDI",HLOOKUP(ORÇAMENTO.OpcaoBDI,$F$4:$H$5,2,FALSE()),0)),15-11*$AF$9)</f>
        <v>0.25</v>
      </c>
      <c r="AJ25" s="222" t="n">
        <v>1</v>
      </c>
      <c r="AL25" s="223"/>
      <c r="AM25" s="224" t="n">
        <f aca="false">$X25</f>
        <v>0</v>
      </c>
      <c r="AN25" s="225" t="n">
        <f aca="false" t="array" ref="AN25:AN25">ROUND(ORÇAMENTO.CustoUnitario*(1+$AH25),2)</f>
        <v>0</v>
      </c>
    </row>
    <row r="26" customFormat="false" ht="12.75" hidden="false" customHeight="false" outlineLevel="0" collapsed="false">
      <c r="A26" s="0" t="n">
        <f aca="false">CHOOSE(1+LOG(1+2*(ORÇAMENTO.Nivel="Meta")+4*(ORÇAMENTO.Nivel="Nível 2")+8*(ORÇAMENTO.Nivel="Nível 3")+16*(ORÇAMENTO.Nivel="Nível 4")+32*(ORÇAMENTO.Nivel="Serviço"),2),0,1,2,3,4,"S")</f>
        <v>2</v>
      </c>
      <c r="B26" s="0" t="n">
        <f aca="true">IF(OR(C26="s",C26=0),OFFSET(B26,-1,0),C26)</f>
        <v>2</v>
      </c>
      <c r="C26" s="0" t="n">
        <f aca="true">IF(OFFSET(C26,-1,0)="L",1,IF(OFFSET(C26,-1,0)=1,2,IF(OR(A26="s",A26=0),"S",IF(AND(OFFSET(C26,-1,0)=2,A26=4),3,IF(AND(OR(OFFSET(C26,-1,0)="s",OFFSET(C26,-1,0)=0),A26&lt;&gt;"s",A26&gt;OFFSET(B26,-1,0)),OFFSET(B26,-1,0),A26)))))</f>
        <v>2</v>
      </c>
      <c r="D26" s="0" t="n">
        <f aca="false">IF(OR(C26="S",C26=0),0,IF(ISERROR(K26),J26,SMALL(J26:K26,1)))</f>
        <v>2</v>
      </c>
      <c r="E26" s="0" t="n">
        <f aca="true">IF($C26=1,OFFSET(E26,-1,0)+MAX(1,COUNTIF(QCI!$A$13:$A$24,OFFSET(ORÇAMENTO!E26,-1,0))),OFFSET(E26,-1,0))</f>
        <v>1</v>
      </c>
      <c r="F26" s="0" t="n">
        <f aca="true">IF($C26=1,0,IF($C26=2,OFFSET(F26,-1,0)+1,OFFSET(F26,-1,0)))</f>
        <v>4</v>
      </c>
      <c r="G26" s="0" t="n">
        <f aca="true">IF(AND($C26&lt;=2,$C26&lt;&gt;0),0,IF($C26=3,OFFSET(G26,-1,0)+1,OFFSET(G26,-1,0)))</f>
        <v>0</v>
      </c>
      <c r="H26" s="0" t="n">
        <f aca="true">IF(AND($C26&lt;=3,$C26&lt;&gt;0),0,IF($C26=4,OFFSET(H26,-1,0)+1,OFFSET(H26,-1,0)))</f>
        <v>0</v>
      </c>
      <c r="I26" s="0" t="n">
        <f aca="true">IF(AND($C26&lt;=4,$C26&lt;&gt;0),0,IF(AND($C26="S",$X26&gt;0),OFFSET(I26,-1,0)+1,OFFSET(I26,-1,0)))</f>
        <v>0</v>
      </c>
      <c r="J26" s="0" t="n">
        <f aca="true">IF(OR($C26="S",$C26=0),0,MATCH(0,OFFSET($D26,1,$C26,ROW($C$59)-ROW($C26)),0))</f>
        <v>33</v>
      </c>
      <c r="K26" s="0" t="n">
        <f aca="true">IF(OR($C26="S",$C26=0),0,MATCH(OFFSET($D26,0,$C26)+IF($C26&lt;&gt;1,1,COUNTIF(QCI!$A$13:$A$24,ORÇAMENTO!E26)),OFFSET($D26,1,$C26,ROW($C$59)-ROW($C26)),0))</f>
        <v>2</v>
      </c>
      <c r="L26" s="204" t="str">
        <f aca="false">IF(OR($X26&gt;0,$C26=1,$C26=2,$C26=3,$C26=4),"F","")</f>
        <v>F</v>
      </c>
      <c r="M26" s="205" t="s">
        <v>764</v>
      </c>
      <c r="N26" s="206" t="str">
        <f aca="false">CHOOSE(1+LOG(1+2*(C26=1)+4*(C26=2)+8*(C26=3)+16*(C26=4)+32*(C26="S"),2),"","Meta","Nível 2","Nível 3","Nível 4","Serviço")</f>
        <v>Nível 2</v>
      </c>
      <c r="O26" s="207" t="str">
        <f aca="false">IF(OR($C26=0,$L26=""),"-",CONCATENATE(E26&amp;".",IF(AND($A$5&gt;=2,$C26&gt;=2),F26&amp;".",""),IF(AND($A$5&gt;=3,$C26&gt;=3),G26&amp;".",""),IF(AND($A$5&gt;=4,$C26&gt;=4),H26&amp;".",""),IF($C26="S",I26&amp;".","")))</f>
        <v>1.4.</v>
      </c>
      <c r="P26" s="208" t="s">
        <v>768</v>
      </c>
      <c r="Q26" s="209" t="s">
        <v>834</v>
      </c>
      <c r="R26" s="240" t="s">
        <v>835</v>
      </c>
      <c r="S26" s="211" t="str">
        <f aca="true" t="array" ref="S26:S26">REFERENCIA.Unidade</f>
        <v>-</v>
      </c>
      <c r="T26" s="212" t="n">
        <f aca="true">OFFSET(CÁLCULO!H$15,ROW($T26)-ROW(T$15),0)</f>
        <v>0</v>
      </c>
      <c r="U26" s="213"/>
      <c r="V26" s="214" t="s">
        <v>723</v>
      </c>
      <c r="W26" s="212" t="n">
        <f aca="false" t="array" ref="W26:W26">IF($C26="S",ROUND(IF(TIPOORCAMENTO="Proposto",ORÇAMENTO.CustoUnitario*(1+$AH26),ORÇAMENTO.PrecoUnitarioLicitado),15-13*$AF$10),0)</f>
        <v>0</v>
      </c>
      <c r="X26" s="215" t="n">
        <f aca="true" t="array" ref="X26:X26">IF($C26="S",IF(OR(Import.TipoArredondamento&lt;&gt;"TransfereGOV",ACOMPANHAMENTO="BM"),VTOTAL1,SUM(OFFSET(CÁLCULO!$AA$15,ROW($X26)-ROW($X$15),1):OFFSET(CÁLCULO!$AL$15,ROW($X26)-ROW($X$15),-1))),IF($C26=0,0,ROUND(SomaAgrup,15-13*$AF$11)))</f>
        <v>0</v>
      </c>
      <c r="Y26" s="216" t="s">
        <v>776</v>
      </c>
      <c r="Z26" s="0" t="str">
        <f aca="false">IF(AND($C26="S",$X26&gt;0),IF(ISBLANK($Y26),"RA",LEFT($Y26,2)),"")</f>
        <v/>
      </c>
      <c r="AA26" s="217" t="n">
        <f aca="true" t="array" ref="AA26:AA26">IF($C26="S",IF($Z26="CP",$X26,IF($Z26="RA",(($X26)*QCI!$AA$3),0)),SomaAgrup)</f>
        <v>0</v>
      </c>
      <c r="AB26" s="218" t="n">
        <f aca="true" t="array" ref="AB26:AB26">IF($C26="S",IF($Z26="OU",ROUND($X26,2),0),SomaAgrup)</f>
        <v>0</v>
      </c>
      <c r="AC26" s="219" t="str">
        <f aca="false" t="array" ref="AC26:AC26">IF($N26=""," ",
IF(AND($C26&lt;&gt;"S",OR($R26="",$R26="(digite a descrição aqui)")),"DESCRIÇÃO",
IF(AND($C26="S",OR($Q26&lt;&gt;"",$T26&gt;0,$U26&gt;0),$P26=""),"FONTE",
IF(AND($C26="S",$P26&lt;&gt;"",OR($T26&gt;0,$U26&gt;0),$Q26=""),"CÓDIGO",
IF(AND($C26="S",$P26&lt;&gt;"",$Q26&lt;&gt;"",$R26="(Código não identificado nas referências)"),"CÓDIGO N/ID",
IF(AND($C26="S",OR($R26="",$R26="(digite a descrição aqui)"),OR($Q26&lt;&gt;"",$T26&gt;0,$U26&gt;0)),"DESCRIÇÃO",
IF(AND($C26="S",$P26&lt;&gt;"",$Q26&lt;&gt;"",$S26=""),"UNIDADE",
IF(AND($C26="S",$P26&lt;&gt;"",$Q26&lt;&gt;"",$U26=0),"SEM CUSTO",
IF(AND(TIPOORCAMENTO="Licitado",$AL26=0,$AN26&gt;0),"SEM PREÇO",
IF(AND($C26="S",$P26&lt;&gt;"",$Q26&lt;&gt;"",$U26&gt;0,AND($V26&lt;&gt;"BDI 1",$V26&lt;&gt;"BDI 2",$V26&lt;&gt;"BDI 3")),IF(ISNUMBER($V26),"JUSTIFICAR BDI","BDI"),
IF(OR(AND(import.recurso="OGU",TIPOORCAMENTO="Proposto",LEFT($O$8,5)&lt;&gt;"(N/D:",$AG26&lt;&gt;"",ORÇAMENTO.CustoUnitario&gt;$AG26),AND(TIPOORCAMENTO="LICITADO",ORÇAMENTO.PrecoUnitarioLicitado&gt;$AN26)),"ACIMA REF.",
IF(AND($C26="S",$P26&lt;&gt;"",$Q26&lt;&gt;"",$T26=0,$U26&gt;0),"QUANT.",
IF(AND(Import.TipoArredondamento="TransfereGOV",$L26="F",$C26="S",LEN($Q26)&gt;13),"Código &gt;13",
IF(AND(Import.TipoArredondamento="TransfereGOV",$L26="F",$C26&lt;&gt;"S",LEN($R26)&gt;100),"Descrição &gt;100",
IF(AND(Import.TipoArredondamento="TransfereGOV",$L26="F",$C26="S",LEN($R26)&gt;500),"Descrição &gt;500",
IF(AND(Import.TipoArredondamento="TransfereGOV",$L26="F",$C26="S",LEFT(TRIM(UPPER($P26)),6)&lt;&gt;"SINAPI",ISNA(VLOOKUP(TRIM(UPPER($S26)),ListaTgov.Unidades,1,FALSE()))),"Unid. Não Disp",
" "))))))))))))))))</f>
        <v> </v>
      </c>
      <c r="AD26" s="0" t="n">
        <f aca="true">IF(C26&lt;=CRONO.NivelExibicao,MAX($AD$15:OFFSET(AD26,-1,0))+IF($C26&lt;&gt;1,1,MAX(1,COUNTIF(QCI!$A$13:$A$24,OFFSET($E26,-1,0)))),"")</f>
        <v>5</v>
      </c>
      <c r="AE26" s="48" t="n">
        <f aca="false" t="array" ref="AE26:AE26">IF(AND($C26="S",ORÇAMENTO.CodBarra&lt;&gt;""),IF(ORÇAMENTO.Fonte="",ORÇAMENTO.CodBarra,CONCATENATE(ORÇAMENTO.Fonte," ",ORÇAMENTO.CodBarra)))</f>
        <v>0</v>
      </c>
      <c r="AF26" s="63" t="str">
        <f aca="true" t="array" ref="AF26:AF26">IF(ISERROR(ORÇAMENTO.BancoRef),"(abra o arquivo 'Referência "&amp;Excel_BuiltIn_Database&amp;".xlsm)",IF(OR($C26&lt;&gt;"S",ORÇAMENTO.CodBarra=""),"(Sem Código)",IF(ISERROR(MATCH($AE26,INDIRECT(ORÇAMENTO.BancoRef),0)),"(Código não identificado nas referências)",MATCH($AE26,INDIRECT(ORÇAMENTO.BancoRef),0))))</f>
        <v>(Sem Código)</v>
      </c>
      <c r="AG26" s="220" t="n">
        <f aca="true" t="array" ref="AG26:AG26">ROUND(IF(DESONERACAO="sim",REFERENCIA.Desonerado,REFERENCIA.NaoDesonerado),2)</f>
        <v>0</v>
      </c>
      <c r="AH26" s="221" t="n">
        <f aca="false">ROUND(IF(ISNUMBER(ORÇAMENTO.OpcaoBDI),ORÇAMENTO.OpcaoBDI,IF(LEFT(ORÇAMENTO.OpcaoBDI,3)="BDI",HLOOKUP(ORÇAMENTO.OpcaoBDI,$F$4:$H$5,2,FALSE()),0)),15-11*$AF$9)</f>
        <v>0.25</v>
      </c>
      <c r="AJ26" s="222"/>
      <c r="AL26" s="223"/>
      <c r="AM26" s="224" t="n">
        <f aca="false">$X26</f>
        <v>0</v>
      </c>
      <c r="AN26" s="225" t="n">
        <f aca="false" t="array" ref="AN26:AN26">ROUND(ORÇAMENTO.CustoUnitario*(1+$AH26),2)</f>
        <v>0</v>
      </c>
    </row>
    <row r="27" customFormat="false" ht="12.75" hidden="false" customHeight="false" outlineLevel="0" collapsed="false">
      <c r="A27" s="0" t="str">
        <f aca="false">CHOOSE(1+LOG(1+2*(ORÇAMENTO.Nivel="Meta")+4*(ORÇAMENTO.Nivel="Nível 2")+8*(ORÇAMENTO.Nivel="Nível 3")+16*(ORÇAMENTO.Nivel="Nível 4")+32*(ORÇAMENTO.Nivel="Serviço"),2),0,1,2,3,4,"S")</f>
        <v>S</v>
      </c>
      <c r="B27" s="0" t="n">
        <f aca="true">IF(OR(C27="s",C27=0),OFFSET(B27,-1,0),C27)</f>
        <v>2</v>
      </c>
      <c r="C27" s="0" t="str">
        <f aca="true">IF(OFFSET(C27,-1,0)="L",1,IF(OFFSET(C27,-1,0)=1,2,IF(OR(A27="s",A27=0),"S",IF(AND(OFFSET(C27,-1,0)=2,A27=4),3,IF(AND(OR(OFFSET(C27,-1,0)="s",OFFSET(C27,-1,0)=0),A27&lt;&gt;"s",A27&gt;OFFSET(B27,-1,0)),OFFSET(B27,-1,0),A27)))))</f>
        <v>S</v>
      </c>
      <c r="D27" s="0" t="n">
        <f aca="false">IF(OR(C27="S",C27=0),0,IF(ISERROR(K27),J27,SMALL(J27:K27,1)))</f>
        <v>0</v>
      </c>
      <c r="E27" s="0" t="n">
        <f aca="true">IF($C27=1,OFFSET(E27,-1,0)+MAX(1,COUNTIF(QCI!$A$13:$A$24,OFFSET(ORÇAMENTO!E27,-1,0))),OFFSET(E27,-1,0))</f>
        <v>1</v>
      </c>
      <c r="F27" s="0" t="n">
        <f aca="true">IF($C27=1,0,IF($C27=2,OFFSET(F27,-1,0)+1,OFFSET(F27,-1,0)))</f>
        <v>4</v>
      </c>
      <c r="G27" s="0" t="n">
        <f aca="true">IF(AND($C27&lt;=2,$C27&lt;&gt;0),0,IF($C27=3,OFFSET(G27,-1,0)+1,OFFSET(G27,-1,0)))</f>
        <v>0</v>
      </c>
      <c r="H27" s="0" t="n">
        <f aca="true">IF(AND($C27&lt;=3,$C27&lt;&gt;0),0,IF($C27=4,OFFSET(H27,-1,0)+1,OFFSET(H27,-1,0)))</f>
        <v>0</v>
      </c>
      <c r="I27" s="0" t="n">
        <f aca="true">IF(AND($C27&lt;=4,$C27&lt;&gt;0),0,IF(AND($C27="S",$X27&gt;0),OFFSET(I27,-1,0)+1,OFFSET(I27,-1,0)))</f>
        <v>0</v>
      </c>
      <c r="J27" s="0" t="n">
        <f aca="true">IF(OR($C27="S",$C27=0),0,MATCH(0,OFFSET($D27,1,$C27,ROW($C$59)-ROW($C27)),0))</f>
        <v>0</v>
      </c>
      <c r="K27" s="0" t="n">
        <f aca="true">IF(OR($C27="S",$C27=0),0,MATCH(OFFSET($D27,0,$C27)+IF($C27&lt;&gt;1,1,COUNTIF(QCI!$A$13:$A$24,ORÇAMENTO!E27)),OFFSET($D27,1,$C27,ROW($C$59)-ROW($C27)),0))</f>
        <v>0</v>
      </c>
      <c r="L27" s="204" t="str">
        <f aca="false">IF(OR($X27&gt;0,$C27=1,$C27=2,$C27=3,$C27=4),"F","")</f>
        <v/>
      </c>
      <c r="M27" s="205" t="s">
        <v>767</v>
      </c>
      <c r="N27" s="206" t="str">
        <f aca="false">CHOOSE(1+LOG(1+2*(C27=1)+4*(C27=2)+8*(C27=3)+16*(C27=4)+32*(C27="S"),2),"","Meta","Nível 2","Nível 3","Nível 4","Serviço")</f>
        <v>Serviço</v>
      </c>
      <c r="O27" s="207" t="str">
        <f aca="false">IF(OR($C27=0,$L27=""),"-",CONCATENATE(E27&amp;".",IF(AND($A$5&gt;=2,$C27&gt;=2),F27&amp;".",""),IF(AND($A$5&gt;=3,$C27&gt;=3),G27&amp;".",""),IF(AND($A$5&gt;=4,$C27&gt;=4),H27&amp;".",""),IF($C27="S",I27&amp;".","")))</f>
        <v>-</v>
      </c>
      <c r="P27" s="208" t="s">
        <v>768</v>
      </c>
      <c r="Q27" s="209" t="s">
        <v>836</v>
      </c>
      <c r="R27" s="240" t="str">
        <f aca="true" t="array" ref="R27:R27">IF($C27="S",REFERENCIA.Descricao,"(digite a descrição aqui)")</f>
        <v>(Código não identificado nas referências)</v>
      </c>
      <c r="S27" s="211" t="str">
        <f aca="true" t="array" ref="S27:S27">REFERENCIA.Unidade</f>
        <v>-</v>
      </c>
      <c r="T27" s="212" t="n">
        <f aca="true">OFFSET(CÁLCULO!H$15,ROW($T27)-ROW(T$15),0)</f>
        <v>1634.57</v>
      </c>
      <c r="U27" s="213" t="n">
        <f aca="false">AG27</f>
        <v>0</v>
      </c>
      <c r="V27" s="214" t="s">
        <v>723</v>
      </c>
      <c r="W27" s="212" t="n">
        <f aca="false" t="array" ref="W27:W27">IF($C27="S",ROUND(IF(TIPOORCAMENTO="Proposto",ORÇAMENTO.CustoUnitario*(1+$AH27),ORÇAMENTO.PrecoUnitarioLicitado),15-13*$AF$10),0)</f>
        <v>0</v>
      </c>
      <c r="X27" s="215" t="n">
        <f aca="true" t="array" ref="X27:X27">IF($C27="S",IF(OR(Import.TipoArredondamento&lt;&gt;"TransfereGOV",ACOMPANHAMENTO="BM"),VTOTAL1,SUM(OFFSET(CÁLCULO!$AA$15,ROW($X27)-ROW($X$15),1):OFFSET(CÁLCULO!$AL$15,ROW($X27)-ROW($X$15),-1))),IF($C27=0,0,ROUND(SomaAgrup,15-13*$AF$11)))</f>
        <v>0</v>
      </c>
      <c r="Y27" s="216" t="s">
        <v>776</v>
      </c>
      <c r="Z27" s="0" t="str">
        <f aca="false">IF(AND($C27="S",$X27&gt;0),IF(ISBLANK($Y27),"RA",LEFT($Y27,2)),"")</f>
        <v/>
      </c>
      <c r="AA27" s="217" t="n">
        <f aca="true" t="array" ref="AA27:AA27">IF($C27="S",IF($Z27="CP",$X27,IF($Z27="RA",(($X27)*QCI!$AA$3),0)),SomaAgrup)</f>
        <v>0</v>
      </c>
      <c r="AB27" s="218" t="n">
        <f aca="true" t="array" ref="AB27:AB27">IF($C27="S",IF($Z27="OU",ROUND($X27,2),0),SomaAgrup)</f>
        <v>0</v>
      </c>
      <c r="AC27" s="219" t="str">
        <f aca="false" t="array" ref="AC27:AC27">IF($N27=""," ",
IF(AND($C27&lt;&gt;"S",OR($R27="",$R27="(digite a descrição aqui)")),"DESCRIÇÃO",
IF(AND($C27="S",OR($Q27&lt;&gt;"",$T27&gt;0,$U27&gt;0),$P27=""),"FONTE",
IF(AND($C27="S",$P27&lt;&gt;"",OR($T27&gt;0,$U27&gt;0),$Q27=""),"CÓDIGO",
IF(AND($C27="S",$P27&lt;&gt;"",$Q27&lt;&gt;"",$R27="(Código não identificado nas referências)"),"CÓDIGO N/ID",
IF(AND($C27="S",OR($R27="",$R27="(digite a descrição aqui)"),OR($Q27&lt;&gt;"",$T27&gt;0,$U27&gt;0)),"DESCRIÇÃO",
IF(AND($C27="S",$P27&lt;&gt;"",$Q27&lt;&gt;"",$S27=""),"UNIDADE",
IF(AND($C27="S",$P27&lt;&gt;"",$Q27&lt;&gt;"",$U27=0),"SEM CUSTO",
IF(AND(TIPOORCAMENTO="Licitado",$AL27=0,$AN27&gt;0),"SEM PREÇO",
IF(AND($C27="S",$P27&lt;&gt;"",$Q27&lt;&gt;"",$U27&gt;0,AND($V27&lt;&gt;"BDI 1",$V27&lt;&gt;"BDI 2",$V27&lt;&gt;"BDI 3")),IF(ISNUMBER($V27),"JUSTIFICAR BDI","BDI"),
IF(OR(AND(import.recurso="OGU",TIPOORCAMENTO="Proposto",LEFT($O$8,5)&lt;&gt;"(N/D:",$AG27&lt;&gt;"",ORÇAMENTO.CustoUnitario&gt;$AG27),AND(TIPOORCAMENTO="LICITADO",ORÇAMENTO.PrecoUnitarioLicitado&gt;$AN27)),"ACIMA REF.",
IF(AND($C27="S",$P27&lt;&gt;"",$Q27&lt;&gt;"",$T27=0,$U27&gt;0),"QUANT.",
IF(AND(Import.TipoArredondamento="TransfereGOV",$L27="F",$C27="S",LEN($Q27)&gt;13),"Código &gt;13",
IF(AND(Import.TipoArredondamento="TransfereGOV",$L27="F",$C27&lt;&gt;"S",LEN($R27)&gt;100),"Descrição &gt;100",
IF(AND(Import.TipoArredondamento="TransfereGOV",$L27="F",$C27="S",LEN($R27)&gt;500),"Descrição &gt;500",
IF(AND(Import.TipoArredondamento="TransfereGOV",$L27="F",$C27="S",LEFT(TRIM(UPPER($P27)),6)&lt;&gt;"SINAPI",ISNA(VLOOKUP(TRIM(UPPER($S27)),ListaTgov.Unidades,1,FALSE()))),"Unid. Não Disp",
" "))))))))))))))))</f>
        <v>CÓDIGO N/ID</v>
      </c>
      <c r="AD27" s="0" t="str">
        <f aca="true">IF(C27&lt;=CRONO.NivelExibicao,MAX($AD$15:OFFSET(AD27,-1,0))+IF($C27&lt;&gt;1,1,MAX(1,COUNTIF(QCI!$A$13:$A$24,OFFSET($E27,-1,0)))),"")</f>
        <v/>
      </c>
      <c r="AE27" s="48" t="str">
        <f aca="false" t="array" ref="AE27:AE27">IF(AND($C27="S",ORÇAMENTO.CodBarra&lt;&gt;""),IF(ORÇAMENTO.Fonte="",ORÇAMENTO.CodBarra,CONCATENATE(ORÇAMENTO.Fonte," ",ORÇAMENTO.CodBarra)))</f>
        <v>SINAPI 97635</v>
      </c>
      <c r="AF27" s="63" t="str">
        <f aca="true" t="array" ref="AF27:AF27">IF(ISERROR(ORÇAMENTO.BancoRef),"(abra o arquivo 'Referência "&amp;Excel_BuiltIn_Database&amp;".xlsm)",IF(OR($C27&lt;&gt;"S",ORÇAMENTO.CodBarra=""),"(Sem Código)",IF(ISERROR(MATCH($AE27,INDIRECT(ORÇAMENTO.BancoRef),0)),"(Código não identificado nas referências)",MATCH($AE27,INDIRECT(ORÇAMENTO.BancoRef),0))))</f>
        <v>(Código não identificado nas referências)</v>
      </c>
      <c r="AG27" s="220" t="n">
        <f aca="true" t="array" ref="AG27:AG27">ROUND(IF(DESONERACAO="sim",REFERENCIA.Desonerado,REFERENCIA.NaoDesonerado),2)</f>
        <v>0</v>
      </c>
      <c r="AH27" s="221" t="n">
        <f aca="false">ROUND(IF(ISNUMBER(ORÇAMENTO.OpcaoBDI),ORÇAMENTO.OpcaoBDI,IF(LEFT(ORÇAMENTO.OpcaoBDI,3)="BDI",HLOOKUP(ORÇAMENTO.OpcaoBDI,$F$4:$H$5,2,FALSE()),0)),15-11*$AF$9)</f>
        <v>0.25</v>
      </c>
      <c r="AJ27" s="222" t="n">
        <v>1634.57</v>
      </c>
      <c r="AL27" s="223"/>
      <c r="AM27" s="224" t="n">
        <f aca="false">$X27</f>
        <v>0</v>
      </c>
      <c r="AN27" s="225" t="n">
        <f aca="false" t="array" ref="AN27:AN27">ROUND(ORÇAMENTO.CustoUnitario*(1+$AH27),2)</f>
        <v>0</v>
      </c>
    </row>
    <row r="28" customFormat="false" ht="12.75" hidden="false" customHeight="false" outlineLevel="0" collapsed="false">
      <c r="A28" s="0" t="n">
        <f aca="false">CHOOSE(1+LOG(1+2*(ORÇAMENTO.Nivel="Meta")+4*(ORÇAMENTO.Nivel="Nível 2")+8*(ORÇAMENTO.Nivel="Nível 3")+16*(ORÇAMENTO.Nivel="Nível 4")+32*(ORÇAMENTO.Nivel="Serviço"),2),0,1,2,3,4,"S")</f>
        <v>2</v>
      </c>
      <c r="B28" s="0" t="n">
        <f aca="true">IF(OR(C28="s",C28=0),OFFSET(B28,-1,0),C28)</f>
        <v>2</v>
      </c>
      <c r="C28" s="0" t="n">
        <f aca="true">IF(OFFSET(C28,-1,0)="L",1,IF(OFFSET(C28,-1,0)=1,2,IF(OR(A28="s",A28=0),"S",IF(AND(OFFSET(C28,-1,0)=2,A28=4),3,IF(AND(OR(OFFSET(C28,-1,0)="s",OFFSET(C28,-1,0)=0),A28&lt;&gt;"s",A28&gt;OFFSET(B28,-1,0)),OFFSET(B28,-1,0),A28)))))</f>
        <v>2</v>
      </c>
      <c r="D28" s="0" t="n">
        <f aca="false">IF(OR(C28="S",C28=0),0,IF(ISERROR(K28),J28,SMALL(J28:K28,1)))</f>
        <v>4</v>
      </c>
      <c r="E28" s="0" t="n">
        <f aca="true">IF($C28=1,OFFSET(E28,-1,0)+MAX(1,COUNTIF(QCI!$A$13:$A$24,OFFSET(ORÇAMENTO!E28,-1,0))),OFFSET(E28,-1,0))</f>
        <v>1</v>
      </c>
      <c r="F28" s="0" t="n">
        <f aca="true">IF($C28=1,0,IF($C28=2,OFFSET(F28,-1,0)+1,OFFSET(F28,-1,0)))</f>
        <v>5</v>
      </c>
      <c r="G28" s="0" t="n">
        <f aca="true">IF(AND($C28&lt;=2,$C28&lt;&gt;0),0,IF($C28=3,OFFSET(G28,-1,0)+1,OFFSET(G28,-1,0)))</f>
        <v>0</v>
      </c>
      <c r="H28" s="0" t="n">
        <f aca="true">IF(AND($C28&lt;=3,$C28&lt;&gt;0),0,IF($C28=4,OFFSET(H28,-1,0)+1,OFFSET(H28,-1,0)))</f>
        <v>0</v>
      </c>
      <c r="I28" s="0" t="n">
        <f aca="true">IF(AND($C28&lt;=4,$C28&lt;&gt;0),0,IF(AND($C28="S",$X28&gt;0),OFFSET(I28,-1,0)+1,OFFSET(I28,-1,0)))</f>
        <v>0</v>
      </c>
      <c r="J28" s="0" t="n">
        <f aca="true">IF(OR($C28="S",$C28=0),0,MATCH(0,OFFSET($D28,1,$C28,ROW($C$59)-ROW($C28)),0))</f>
        <v>31</v>
      </c>
      <c r="K28" s="0" t="n">
        <f aca="true">IF(OR($C28="S",$C28=0),0,MATCH(OFFSET($D28,0,$C28)+IF($C28&lt;&gt;1,1,COUNTIF(QCI!$A$13:$A$24,ORÇAMENTO!E28)),OFFSET($D28,1,$C28,ROW($C$59)-ROW($C28)),0))</f>
        <v>4</v>
      </c>
      <c r="L28" s="204" t="str">
        <f aca="false">IF(OR($X28&gt;0,$C28=1,$C28=2,$C28=3,$C28=4),"F","")</f>
        <v>F</v>
      </c>
      <c r="M28" s="205" t="s">
        <v>764</v>
      </c>
      <c r="N28" s="206" t="str">
        <f aca="false">CHOOSE(1+LOG(1+2*(C28=1)+4*(C28=2)+8*(C28=3)+16*(C28=4)+32*(C28="S"),2),"","Meta","Nível 2","Nível 3","Nível 4","Serviço")</f>
        <v>Nível 2</v>
      </c>
      <c r="O28" s="207" t="str">
        <f aca="false">IF(OR($C28=0,$L28=""),"-",CONCATENATE(E28&amp;".",IF(AND($A$5&gt;=2,$C28&gt;=2),F28&amp;".",""),IF(AND($A$5&gt;=3,$C28&gt;=3),G28&amp;".",""),IF(AND($A$5&gt;=4,$C28&gt;=4),H28&amp;".",""),IF($C28="S",I28&amp;".","")))</f>
        <v>1.5.</v>
      </c>
      <c r="P28" s="208" t="s">
        <v>768</v>
      </c>
      <c r="Q28" s="209"/>
      <c r="R28" s="240" t="s">
        <v>837</v>
      </c>
      <c r="S28" s="211" t="str">
        <f aca="true" t="array" ref="S28:S28">REFERENCIA.Unidade</f>
        <v>-</v>
      </c>
      <c r="T28" s="212" t="n">
        <f aca="true">OFFSET(CÁLCULO!H$15,ROW($T28)-ROW(T$15),0)</f>
        <v>0</v>
      </c>
      <c r="U28" s="213"/>
      <c r="V28" s="214" t="s">
        <v>723</v>
      </c>
      <c r="W28" s="212" t="n">
        <f aca="false" t="array" ref="W28:W28">IF($C28="S",ROUND(IF(TIPOORCAMENTO="Proposto",ORÇAMENTO.CustoUnitario*(1+$AH28),ORÇAMENTO.PrecoUnitarioLicitado),15-13*$AF$10),0)</f>
        <v>0</v>
      </c>
      <c r="X28" s="215" t="n">
        <f aca="true" t="array" ref="X28:X28">IF($C28="S",IF(OR(Import.TipoArredondamento&lt;&gt;"TransfereGOV",ACOMPANHAMENTO="BM"),VTOTAL1,SUM(OFFSET(CÁLCULO!$AA$15,ROW($X28)-ROW($X$15),1):OFFSET(CÁLCULO!$AL$15,ROW($X28)-ROW($X$15),-1))),IF($C28=0,0,ROUND(SomaAgrup,15-13*$AF$11)))</f>
        <v>0</v>
      </c>
      <c r="Y28" s="216" t="s">
        <v>776</v>
      </c>
      <c r="Z28" s="0" t="str">
        <f aca="false">IF(AND($C28="S",$X28&gt;0),IF(ISBLANK($Y28),"RA",LEFT($Y28,2)),"")</f>
        <v/>
      </c>
      <c r="AA28" s="217" t="n">
        <f aca="true" t="array" ref="AA28:AA28">IF($C28="S",IF($Z28="CP",$X28,IF($Z28="RA",(($X28)*QCI!$AA$3),0)),SomaAgrup)</f>
        <v>0</v>
      </c>
      <c r="AB28" s="218" t="n">
        <f aca="true" t="array" ref="AB28:AB28">IF($C28="S",IF($Z28="OU",ROUND($X28,2),0),SomaAgrup)</f>
        <v>0</v>
      </c>
      <c r="AC28" s="219" t="str">
        <f aca="false" t="array" ref="AC28:AC28">IF($N28=""," ",
IF(AND($C28&lt;&gt;"S",OR($R28="",$R28="(digite a descrição aqui)")),"DESCRIÇÃO",
IF(AND($C28="S",OR($Q28&lt;&gt;"",$T28&gt;0,$U28&gt;0),$P28=""),"FONTE",
IF(AND($C28="S",$P28&lt;&gt;"",OR($T28&gt;0,$U28&gt;0),$Q28=""),"CÓDIGO",
IF(AND($C28="S",$P28&lt;&gt;"",$Q28&lt;&gt;"",$R28="(Código não identificado nas referências)"),"CÓDIGO N/ID",
IF(AND($C28="S",OR($R28="",$R28="(digite a descrição aqui)"),OR($Q28&lt;&gt;"",$T28&gt;0,$U28&gt;0)),"DESCRIÇÃO",
IF(AND($C28="S",$P28&lt;&gt;"",$Q28&lt;&gt;"",$S28=""),"UNIDADE",
IF(AND($C28="S",$P28&lt;&gt;"",$Q28&lt;&gt;"",$U28=0),"SEM CUSTO",
IF(AND(TIPOORCAMENTO="Licitado",$AL28=0,$AN28&gt;0),"SEM PREÇO",
IF(AND($C28="S",$P28&lt;&gt;"",$Q28&lt;&gt;"",$U28&gt;0,AND($V28&lt;&gt;"BDI 1",$V28&lt;&gt;"BDI 2",$V28&lt;&gt;"BDI 3")),IF(ISNUMBER($V28),"JUSTIFICAR BDI","BDI"),
IF(OR(AND(import.recurso="OGU",TIPOORCAMENTO="Proposto",LEFT($O$8,5)&lt;&gt;"(N/D:",$AG28&lt;&gt;"",ORÇAMENTO.CustoUnitario&gt;$AG28),AND(TIPOORCAMENTO="LICITADO",ORÇAMENTO.PrecoUnitarioLicitado&gt;$AN28)),"ACIMA REF.",
IF(AND($C28="S",$P28&lt;&gt;"",$Q28&lt;&gt;"",$T28=0,$U28&gt;0),"QUANT.",
IF(AND(Import.TipoArredondamento="TransfereGOV",$L28="F",$C28="S",LEN($Q28)&gt;13),"Código &gt;13",
IF(AND(Import.TipoArredondamento="TransfereGOV",$L28="F",$C28&lt;&gt;"S",LEN($R28)&gt;100),"Descrição &gt;100",
IF(AND(Import.TipoArredondamento="TransfereGOV",$L28="F",$C28="S",LEN($R28)&gt;500),"Descrição &gt;500",
IF(AND(Import.TipoArredondamento="TransfereGOV",$L28="F",$C28="S",LEFT(TRIM(UPPER($P28)),6)&lt;&gt;"SINAPI",ISNA(VLOOKUP(TRIM(UPPER($S28)),ListaTgov.Unidades,1,FALSE()))),"Unid. Não Disp",
" "))))))))))))))))</f>
        <v> </v>
      </c>
      <c r="AD28" s="0" t="n">
        <f aca="true">IF(C28&lt;=CRONO.NivelExibicao,MAX($AD$15:OFFSET(AD28,-1,0))+IF($C28&lt;&gt;1,1,MAX(1,COUNTIF(QCI!$A$13:$A$24,OFFSET($E28,-1,0)))),"")</f>
        <v>6</v>
      </c>
      <c r="AE28" s="48" t="n">
        <f aca="false" t="array" ref="AE28:AE28">IF(AND($C28="S",ORÇAMENTO.CodBarra&lt;&gt;""),IF(ORÇAMENTO.Fonte="",ORÇAMENTO.CodBarra,CONCATENATE(ORÇAMENTO.Fonte," ",ORÇAMENTO.CodBarra)))</f>
        <v>0</v>
      </c>
      <c r="AF28" s="63" t="str">
        <f aca="true" t="array" ref="AF28:AF28">IF(ISERROR(ORÇAMENTO.BancoRef),"(abra o arquivo 'Referência "&amp;Excel_BuiltIn_Database&amp;".xlsm)",IF(OR($C28&lt;&gt;"S",ORÇAMENTO.CodBarra=""),"(Sem Código)",IF(ISERROR(MATCH($AE28,INDIRECT(ORÇAMENTO.BancoRef),0)),"(Código não identificado nas referências)",MATCH($AE28,INDIRECT(ORÇAMENTO.BancoRef),0))))</f>
        <v>(Sem Código)</v>
      </c>
      <c r="AG28" s="220" t="n">
        <f aca="true" t="array" ref="AG28:AG28">ROUND(IF(DESONERACAO="sim",REFERENCIA.Desonerado,REFERENCIA.NaoDesonerado),2)</f>
        <v>0</v>
      </c>
      <c r="AH28" s="221" t="n">
        <f aca="false">ROUND(IF(ISNUMBER(ORÇAMENTO.OpcaoBDI),ORÇAMENTO.OpcaoBDI,IF(LEFT(ORÇAMENTO.OpcaoBDI,3)="BDI",HLOOKUP(ORÇAMENTO.OpcaoBDI,$F$4:$H$5,2,FALSE()),0)),15-11*$AF$9)</f>
        <v>0.25</v>
      </c>
      <c r="AJ28" s="222"/>
      <c r="AL28" s="223"/>
      <c r="AM28" s="224" t="n">
        <f aca="false">$X28</f>
        <v>0</v>
      </c>
      <c r="AN28" s="225" t="n">
        <f aca="false" t="array" ref="AN28:AN28">ROUND(ORÇAMENTO.CustoUnitario*(1+$AH28),2)</f>
        <v>0</v>
      </c>
    </row>
    <row r="29" customFormat="false" ht="12.75" hidden="false" customHeight="false" outlineLevel="0" collapsed="false">
      <c r="A29" s="0" t="str">
        <f aca="false">CHOOSE(1+LOG(1+2*(ORÇAMENTO.Nivel="Meta")+4*(ORÇAMENTO.Nivel="Nível 2")+8*(ORÇAMENTO.Nivel="Nível 3")+16*(ORÇAMENTO.Nivel="Nível 4")+32*(ORÇAMENTO.Nivel="Serviço"),2),0,1,2,3,4,"S")</f>
        <v>S</v>
      </c>
      <c r="B29" s="0" t="n">
        <f aca="true">IF(OR(C29="s",C29=0),OFFSET(B29,-1,0),C29)</f>
        <v>2</v>
      </c>
      <c r="C29" s="0" t="str">
        <f aca="true">IF(OFFSET(C29,-1,0)="L",1,IF(OFFSET(C29,-1,0)=1,2,IF(OR(A29="s",A29=0),"S",IF(AND(OFFSET(C29,-1,0)=2,A29=4),3,IF(AND(OR(OFFSET(C29,-1,0)="s",OFFSET(C29,-1,0)=0),A29&lt;&gt;"s",A29&gt;OFFSET(B29,-1,0)),OFFSET(B29,-1,0),A29)))))</f>
        <v>S</v>
      </c>
      <c r="D29" s="0" t="n">
        <f aca="false">IF(OR(C29="S",C29=0),0,IF(ISERROR(K29),J29,SMALL(J29:K29,1)))</f>
        <v>0</v>
      </c>
      <c r="E29" s="0" t="n">
        <f aca="true">IF($C29=1,OFFSET(E29,-1,0)+MAX(1,COUNTIF(QCI!$A$13:$A$24,OFFSET(ORÇAMENTO!E29,-1,0))),OFFSET(E29,-1,0))</f>
        <v>1</v>
      </c>
      <c r="F29" s="0" t="n">
        <f aca="true">IF($C29=1,0,IF($C29=2,OFFSET(F29,-1,0)+1,OFFSET(F29,-1,0)))</f>
        <v>5</v>
      </c>
      <c r="G29" s="0" t="n">
        <f aca="true">IF(AND($C29&lt;=2,$C29&lt;&gt;0),0,IF($C29=3,OFFSET(G29,-1,0)+1,OFFSET(G29,-1,0)))</f>
        <v>0</v>
      </c>
      <c r="H29" s="0" t="n">
        <f aca="true">IF(AND($C29&lt;=3,$C29&lt;&gt;0),0,IF($C29=4,OFFSET(H29,-1,0)+1,OFFSET(H29,-1,0)))</f>
        <v>0</v>
      </c>
      <c r="I29" s="0" t="n">
        <f aca="true">IF(AND($C29&lt;=4,$C29&lt;&gt;0),0,IF(AND($C29="S",$X29&gt;0),OFFSET(I29,-1,0)+1,OFFSET(I29,-1,0)))</f>
        <v>0</v>
      </c>
      <c r="J29" s="0" t="n">
        <f aca="true">IF(OR($C29="S",$C29=0),0,MATCH(0,OFFSET($D29,1,$C29,ROW($C$59)-ROW($C29)),0))</f>
        <v>0</v>
      </c>
      <c r="K29" s="0" t="n">
        <f aca="true">IF(OR($C29="S",$C29=0),0,MATCH(OFFSET($D29,0,$C29)+IF($C29&lt;&gt;1,1,COUNTIF(QCI!$A$13:$A$24,ORÇAMENTO!E29)),OFFSET($D29,1,$C29,ROW($C$59)-ROW($C29)),0))</f>
        <v>0</v>
      </c>
      <c r="L29" s="204" t="str">
        <f aca="false">IF(OR($X29&gt;0,$C29=1,$C29=2,$C29=3,$C29=4),"F","")</f>
        <v/>
      </c>
      <c r="M29" s="205" t="s">
        <v>767</v>
      </c>
      <c r="N29" s="206" t="str">
        <f aca="false">CHOOSE(1+LOG(1+2*(C29=1)+4*(C29=2)+8*(C29=3)+16*(C29=4)+32*(C29="S"),2),"","Meta","Nível 2","Nível 3","Nível 4","Serviço")</f>
        <v>Serviço</v>
      </c>
      <c r="O29" s="207" t="str">
        <f aca="false">IF(OR($C29=0,$L29=""),"-",CONCATENATE(E29&amp;".",IF(AND($A$5&gt;=2,$C29&gt;=2),F29&amp;".",""),IF(AND($A$5&gt;=3,$C29&gt;=3),G29&amp;".",""),IF(AND($A$5&gt;=4,$C29&gt;=4),H29&amp;".",""),IF($C29="S",I29&amp;".","")))</f>
        <v>-</v>
      </c>
      <c r="P29" s="208" t="s">
        <v>770</v>
      </c>
      <c r="Q29" s="209" t="s">
        <v>838</v>
      </c>
      <c r="R29" s="240" t="str">
        <f aca="true" t="array" ref="R29:R29">IF($C29="S",REFERENCIA.Descricao,"(digite a descrição aqui)")</f>
        <v>(Código não identificado nas referências)</v>
      </c>
      <c r="S29" s="211" t="s">
        <v>685</v>
      </c>
      <c r="T29" s="212" t="n">
        <f aca="true">OFFSET(CÁLCULO!H$15,ROW($T29)-ROW(T$15),0)</f>
        <v>317.27</v>
      </c>
      <c r="U29" s="213" t="n">
        <f aca="false">AG29</f>
        <v>0</v>
      </c>
      <c r="V29" s="214" t="s">
        <v>723</v>
      </c>
      <c r="W29" s="212" t="n">
        <f aca="false" t="array" ref="W29:W29">IF($C29="S",ROUND(IF(TIPOORCAMENTO="Proposto",ORÇAMENTO.CustoUnitario*(1+$AH29),ORÇAMENTO.PrecoUnitarioLicitado),15-13*$AF$10),0)</f>
        <v>0</v>
      </c>
      <c r="X29" s="215" t="n">
        <f aca="true" t="array" ref="X29:X29">IF($C29="S",IF(OR(Import.TipoArredondamento&lt;&gt;"TransfereGOV",ACOMPANHAMENTO="BM"),VTOTAL1,SUM(OFFSET(CÁLCULO!$AA$15,ROW($X29)-ROW($X$15),1):OFFSET(CÁLCULO!$AL$15,ROW($X29)-ROW($X$15),-1))),IF($C29=0,0,ROUND(SomaAgrup,15-13*$AF$11)))</f>
        <v>0</v>
      </c>
      <c r="Y29" s="216" t="s">
        <v>776</v>
      </c>
      <c r="Z29" s="0" t="str">
        <f aca="false">IF(AND($C29="S",$X29&gt;0),IF(ISBLANK($Y29),"RA",LEFT($Y29,2)),"")</f>
        <v/>
      </c>
      <c r="AA29" s="217" t="n">
        <f aca="true" t="array" ref="AA29:AA29">IF($C29="S",IF($Z29="CP",$X29,IF($Z29="RA",(($X29)*QCI!$AA$3),0)),SomaAgrup)</f>
        <v>0</v>
      </c>
      <c r="AB29" s="218" t="n">
        <f aca="true" t="array" ref="AB29:AB29">IF($C29="S",IF($Z29="OU",ROUND($X29,2),0),SomaAgrup)</f>
        <v>0</v>
      </c>
      <c r="AC29" s="219" t="str">
        <f aca="false" t="array" ref="AC29:AC29">IF($N29=""," ",
IF(AND($C29&lt;&gt;"S",OR($R29="",$R29="(digite a descrição aqui)")),"DESCRIÇÃO",
IF(AND($C29="S",OR($Q29&lt;&gt;"",$T29&gt;0,$U29&gt;0),$P29=""),"FONTE",
IF(AND($C29="S",$P29&lt;&gt;"",OR($T29&gt;0,$U29&gt;0),$Q29=""),"CÓDIGO",
IF(AND($C29="S",$P29&lt;&gt;"",$Q29&lt;&gt;"",$R29="(Código não identificado nas referências)"),"CÓDIGO N/ID",
IF(AND($C29="S",OR($R29="",$R29="(digite a descrição aqui)"),OR($Q29&lt;&gt;"",$T29&gt;0,$U29&gt;0)),"DESCRIÇÃO",
IF(AND($C29="S",$P29&lt;&gt;"",$Q29&lt;&gt;"",$S29=""),"UNIDADE",
IF(AND($C29="S",$P29&lt;&gt;"",$Q29&lt;&gt;"",$U29=0),"SEM CUSTO",
IF(AND(TIPOORCAMENTO="Licitado",$AL29=0,$AN29&gt;0),"SEM PREÇO",
IF(AND($C29="S",$P29&lt;&gt;"",$Q29&lt;&gt;"",$U29&gt;0,AND($V29&lt;&gt;"BDI 1",$V29&lt;&gt;"BDI 2",$V29&lt;&gt;"BDI 3")),IF(ISNUMBER($V29),"JUSTIFICAR BDI","BDI"),
IF(OR(AND(import.recurso="OGU",TIPOORCAMENTO="Proposto",LEFT($O$8,5)&lt;&gt;"(N/D:",$AG29&lt;&gt;"",ORÇAMENTO.CustoUnitario&gt;$AG29),AND(TIPOORCAMENTO="LICITADO",ORÇAMENTO.PrecoUnitarioLicitado&gt;$AN29)),"ACIMA REF.",
IF(AND($C29="S",$P29&lt;&gt;"",$Q29&lt;&gt;"",$T29=0,$U29&gt;0),"QUANT.",
IF(AND(Import.TipoArredondamento="TransfereGOV",$L29="F",$C29="S",LEN($Q29)&gt;13),"Código &gt;13",
IF(AND(Import.TipoArredondamento="TransfereGOV",$L29="F",$C29&lt;&gt;"S",LEN($R29)&gt;100),"Descrição &gt;100",
IF(AND(Import.TipoArredondamento="TransfereGOV",$L29="F",$C29="S",LEN($R29)&gt;500),"Descrição &gt;500",
IF(AND(Import.TipoArredondamento="TransfereGOV",$L29="F",$C29="S",LEFT(TRIM(UPPER($P29)),6)&lt;&gt;"SINAPI",ISNA(VLOOKUP(TRIM(UPPER($S29)),ListaTgov.Unidades,1,FALSE()))),"Unid. Não Disp",
" "))))))))))))))))</f>
        <v>CÓDIGO N/ID</v>
      </c>
      <c r="AD29" s="0" t="str">
        <f aca="true">IF(C29&lt;=CRONO.NivelExibicao,MAX($AD$15:OFFSET(AD29,-1,0))+IF($C29&lt;&gt;1,1,MAX(1,COUNTIF(QCI!$A$13:$A$24,OFFSET($E29,-1,0)))),"")</f>
        <v/>
      </c>
      <c r="AE29" s="48" t="str">
        <f aca="false" t="array" ref="AE29:AE29">IF(AND($C29="S",ORÇAMENTO.CodBarra&lt;&gt;""),IF(ORÇAMENTO.Fonte="",ORÇAMENTO.CodBarra,CONCATENATE(ORÇAMENTO.Fonte," ",ORÇAMENTO.CodBarra)))</f>
        <v>SICRO 4805750</v>
      </c>
      <c r="AF29" s="63" t="str">
        <f aca="true" t="array" ref="AF29:AF29">IF(ISERROR(ORÇAMENTO.BancoRef),"(abra o arquivo 'Referência "&amp;Excel_BuiltIn_Database&amp;".xlsm)",IF(OR($C29&lt;&gt;"S",ORÇAMENTO.CodBarra=""),"(Sem Código)",IF(ISERROR(MATCH($AE29,INDIRECT(ORÇAMENTO.BancoRef),0)),"(Código não identificado nas referências)",MATCH($AE29,INDIRECT(ORÇAMENTO.BancoRef),0))))</f>
        <v>(Código não identificado nas referências)</v>
      </c>
      <c r="AG29" s="220" t="n">
        <f aca="true" t="array" ref="AG29:AG29">ROUND(IF(DESONERACAO="sim",REFERENCIA.Desonerado,REFERENCIA.NaoDesonerado),2)</f>
        <v>0</v>
      </c>
      <c r="AH29" s="221" t="n">
        <f aca="false">ROUND(IF(ISNUMBER(ORÇAMENTO.OpcaoBDI),ORÇAMENTO.OpcaoBDI,IF(LEFT(ORÇAMENTO.OpcaoBDI,3)="BDI",HLOOKUP(ORÇAMENTO.OpcaoBDI,$F$4:$H$5,2,FALSE()),0)),15-11*$AF$9)</f>
        <v>0.25</v>
      </c>
      <c r="AJ29" s="222" t="n">
        <v>317.27</v>
      </c>
      <c r="AL29" s="223"/>
      <c r="AM29" s="224" t="n">
        <f aca="false">$X29</f>
        <v>0</v>
      </c>
      <c r="AN29" s="225" t="n">
        <f aca="false" t="array" ref="AN29:AN29">ROUND(ORÇAMENTO.CustoUnitario*(1+$AH29),2)</f>
        <v>0</v>
      </c>
    </row>
    <row r="30" customFormat="false" ht="12.75" hidden="false" customHeight="false" outlineLevel="0" collapsed="false">
      <c r="A30" s="0" t="str">
        <f aca="false">CHOOSE(1+LOG(1+2*(ORÇAMENTO.Nivel="Meta")+4*(ORÇAMENTO.Nivel="Nível 2")+8*(ORÇAMENTO.Nivel="Nível 3")+16*(ORÇAMENTO.Nivel="Nível 4")+32*(ORÇAMENTO.Nivel="Serviço"),2),0,1,2,3,4,"S")</f>
        <v>S</v>
      </c>
      <c r="B30" s="0" t="n">
        <f aca="true">IF(OR(C30="s",C30=0),OFFSET(B30,-1,0),C30)</f>
        <v>2</v>
      </c>
      <c r="C30" s="0" t="str">
        <f aca="true">IF(OFFSET(C30,-1,0)="L",1,IF(OFFSET(C30,-1,0)=1,2,IF(OR(A30="s",A30=0),"S",IF(AND(OFFSET(C30,-1,0)=2,A30=4),3,IF(AND(OR(OFFSET(C30,-1,0)="s",OFFSET(C30,-1,0)=0),A30&lt;&gt;"s",A30&gt;OFFSET(B30,-1,0)),OFFSET(B30,-1,0),A30)))))</f>
        <v>S</v>
      </c>
      <c r="D30" s="0" t="n">
        <f aca="false">IF(OR(C30="S",C30=0),0,IF(ISERROR(K30),J30,SMALL(J30:K30,1)))</f>
        <v>0</v>
      </c>
      <c r="E30" s="0" t="n">
        <f aca="true">IF($C30=1,OFFSET(E30,-1,0)+MAX(1,COUNTIF(QCI!$A$13:$A$24,OFFSET(ORÇAMENTO!E30,-1,0))),OFFSET(E30,-1,0))</f>
        <v>1</v>
      </c>
      <c r="F30" s="0" t="n">
        <f aca="true">IF($C30=1,0,IF($C30=2,OFFSET(F30,-1,0)+1,OFFSET(F30,-1,0)))</f>
        <v>5</v>
      </c>
      <c r="G30" s="0" t="n">
        <f aca="true">IF(AND($C30&lt;=2,$C30&lt;&gt;0),0,IF($C30=3,OFFSET(G30,-1,0)+1,OFFSET(G30,-1,0)))</f>
        <v>0</v>
      </c>
      <c r="H30" s="0" t="n">
        <f aca="true">IF(AND($C30&lt;=3,$C30&lt;&gt;0),0,IF($C30=4,OFFSET(H30,-1,0)+1,OFFSET(H30,-1,0)))</f>
        <v>0</v>
      </c>
      <c r="I30" s="0" t="n">
        <f aca="true">IF(AND($C30&lt;=4,$C30&lt;&gt;0),0,IF(AND($C30="S",$X30&gt;0),OFFSET(I30,-1,0)+1,OFFSET(I30,-1,0)))</f>
        <v>0</v>
      </c>
      <c r="J30" s="0" t="n">
        <f aca="true">IF(OR($C30="S",$C30=0),0,MATCH(0,OFFSET($D30,1,$C30,ROW($C$59)-ROW($C30)),0))</f>
        <v>0</v>
      </c>
      <c r="K30" s="0" t="n">
        <f aca="true">IF(OR($C30="S",$C30=0),0,MATCH(OFFSET($D30,0,$C30)+IF($C30&lt;&gt;1,1,COUNTIF(QCI!$A$13:$A$24,ORÇAMENTO!E30)),OFFSET($D30,1,$C30,ROW($C$59)-ROW($C30)),0))</f>
        <v>0</v>
      </c>
      <c r="L30" s="204" t="str">
        <f aca="false">IF(OR($X30&gt;0,$C30=1,$C30=2,$C30=3,$C30=4),"F","")</f>
        <v/>
      </c>
      <c r="M30" s="205" t="s">
        <v>767</v>
      </c>
      <c r="N30" s="206" t="str">
        <f aca="false">CHOOSE(1+LOG(1+2*(C30=1)+4*(C30=2)+8*(C30=3)+16*(C30=4)+32*(C30="S"),2),"","Meta","Nível 2","Nível 3","Nível 4","Serviço")</f>
        <v>Serviço</v>
      </c>
      <c r="O30" s="207" t="str">
        <f aca="false">IF(OR($C30=0,$L30=""),"-",CONCATENATE(E30&amp;".",IF(AND($A$5&gt;=2,$C30&gt;=2),F30&amp;".",""),IF(AND($A$5&gt;=3,$C30&gt;=3),G30&amp;".",""),IF(AND($A$5&gt;=4,$C30&gt;=4),H30&amp;".",""),IF($C30="S",I30&amp;".","")))</f>
        <v>-</v>
      </c>
      <c r="P30" s="208" t="s">
        <v>768</v>
      </c>
      <c r="Q30" s="209" t="s">
        <v>839</v>
      </c>
      <c r="R30" s="240" t="str">
        <f aca="true" t="array" ref="R30:R30">IF($C30="S",REFERENCIA.Descricao,"(digite a descrição aqui)")</f>
        <v>(Código não identificado nas referências)</v>
      </c>
      <c r="S30" s="211" t="str">
        <f aca="true" t="array" ref="S30:S30">REFERENCIA.Unidade</f>
        <v>-</v>
      </c>
      <c r="T30" s="212" t="n">
        <f aca="true">OFFSET(CÁLCULO!H$15,ROW($T30)-ROW(T$15),0)</f>
        <v>317.27</v>
      </c>
      <c r="U30" s="213" t="n">
        <f aca="false">AG30</f>
        <v>0</v>
      </c>
      <c r="V30" s="214" t="s">
        <v>723</v>
      </c>
      <c r="W30" s="212" t="n">
        <f aca="false" t="array" ref="W30:W30">IF($C30="S",ROUND(IF(TIPOORCAMENTO="Proposto",ORÇAMENTO.CustoUnitario*(1+$AH30),ORÇAMENTO.PrecoUnitarioLicitado),15-13*$AF$10),0)</f>
        <v>0</v>
      </c>
      <c r="X30" s="215" t="n">
        <f aca="true" t="array" ref="X30:X30">IF($C30="S",IF(OR(Import.TipoArredondamento&lt;&gt;"TransfereGOV",ACOMPANHAMENTO="BM"),VTOTAL1,SUM(OFFSET(CÁLCULO!$AA$15,ROW($X30)-ROW($X$15),1):OFFSET(CÁLCULO!$AL$15,ROW($X30)-ROW($X$15),-1))),IF($C30=0,0,ROUND(SomaAgrup,15-13*$AF$11)))</f>
        <v>0</v>
      </c>
      <c r="Y30" s="216" t="s">
        <v>776</v>
      </c>
      <c r="Z30" s="0" t="str">
        <f aca="false">IF(AND($C30="S",$X30&gt;0),IF(ISBLANK($Y30),"RA",LEFT($Y30,2)),"")</f>
        <v/>
      </c>
      <c r="AA30" s="217" t="n">
        <f aca="true" t="array" ref="AA30:AA30">IF($C30="S",IF($Z30="CP",$X30,IF($Z30="RA",(($X30)*QCI!$AA$3),0)),SomaAgrup)</f>
        <v>0</v>
      </c>
      <c r="AB30" s="218" t="n">
        <f aca="true" t="array" ref="AB30:AB30">IF($C30="S",IF($Z30="OU",ROUND($X30,2),0),SomaAgrup)</f>
        <v>0</v>
      </c>
      <c r="AC30" s="219" t="str">
        <f aca="false" t="array" ref="AC30:AC30">IF($N30=""," ",
IF(AND($C30&lt;&gt;"S",OR($R30="",$R30="(digite a descrição aqui)")),"DESCRIÇÃO",
IF(AND($C30="S",OR($Q30&lt;&gt;"",$T30&gt;0,$U30&gt;0),$P30=""),"FONTE",
IF(AND($C30="S",$P30&lt;&gt;"",OR($T30&gt;0,$U30&gt;0),$Q30=""),"CÓDIGO",
IF(AND($C30="S",$P30&lt;&gt;"",$Q30&lt;&gt;"",$R30="(Código não identificado nas referências)"),"CÓDIGO N/ID",
IF(AND($C30="S",OR($R30="",$R30="(digite a descrição aqui)"),OR($Q30&lt;&gt;"",$T30&gt;0,$U30&gt;0)),"DESCRIÇÃO",
IF(AND($C30="S",$P30&lt;&gt;"",$Q30&lt;&gt;"",$S30=""),"UNIDADE",
IF(AND($C30="S",$P30&lt;&gt;"",$Q30&lt;&gt;"",$U30=0),"SEM CUSTO",
IF(AND(TIPOORCAMENTO="Licitado",$AL30=0,$AN30&gt;0),"SEM PREÇO",
IF(AND($C30="S",$P30&lt;&gt;"",$Q30&lt;&gt;"",$U30&gt;0,AND($V30&lt;&gt;"BDI 1",$V30&lt;&gt;"BDI 2",$V30&lt;&gt;"BDI 3")),IF(ISNUMBER($V30),"JUSTIFICAR BDI","BDI"),
IF(OR(AND(import.recurso="OGU",TIPOORCAMENTO="Proposto",LEFT($O$8,5)&lt;&gt;"(N/D:",$AG30&lt;&gt;"",ORÇAMENTO.CustoUnitario&gt;$AG30),AND(TIPOORCAMENTO="LICITADO",ORÇAMENTO.PrecoUnitarioLicitado&gt;$AN30)),"ACIMA REF.",
IF(AND($C30="S",$P30&lt;&gt;"",$Q30&lt;&gt;"",$T30=0,$U30&gt;0),"QUANT.",
IF(AND(Import.TipoArredondamento="TransfereGOV",$L30="F",$C30="S",LEN($Q30)&gt;13),"Código &gt;13",
IF(AND(Import.TipoArredondamento="TransfereGOV",$L30="F",$C30&lt;&gt;"S",LEN($R30)&gt;100),"Descrição &gt;100",
IF(AND(Import.TipoArredondamento="TransfereGOV",$L30="F",$C30="S",LEN($R30)&gt;500),"Descrição &gt;500",
IF(AND(Import.TipoArredondamento="TransfereGOV",$L30="F",$C30="S",LEFT(TRIM(UPPER($P30)),6)&lt;&gt;"SINAPI",ISNA(VLOOKUP(TRIM(UPPER($S30)),ListaTgov.Unidades,1,FALSE()))),"Unid. Não Disp",
" "))))))))))))))))</f>
        <v>CÓDIGO N/ID</v>
      </c>
      <c r="AD30" s="0" t="str">
        <f aca="true">IF(C30&lt;=CRONO.NivelExibicao,MAX($AD$15:OFFSET(AD30,-1,0))+IF($C30&lt;&gt;1,1,MAX(1,COUNTIF(QCI!$A$13:$A$24,OFFSET($E30,-1,0)))),"")</f>
        <v/>
      </c>
      <c r="AE30" s="48" t="str">
        <f aca="false" t="array" ref="AE30:AE30">IF(AND($C30="S",ORÇAMENTO.CodBarra&lt;&gt;""),IF(ORÇAMENTO.Fonte="",ORÇAMENTO.CodBarra,CONCATENATE(ORÇAMENTO.Fonte," ",ORÇAMENTO.CodBarra)))</f>
        <v>SINAPI 97083</v>
      </c>
      <c r="AF30" s="63" t="str">
        <f aca="true" t="array" ref="AF30:AF30">IF(ISERROR(ORÇAMENTO.BancoRef),"(abra o arquivo 'Referência "&amp;Excel_BuiltIn_Database&amp;".xlsm)",IF(OR($C30&lt;&gt;"S",ORÇAMENTO.CodBarra=""),"(Sem Código)",IF(ISERROR(MATCH($AE30,INDIRECT(ORÇAMENTO.BancoRef),0)),"(Código não identificado nas referências)",MATCH($AE30,INDIRECT(ORÇAMENTO.BancoRef),0))))</f>
        <v>(Código não identificado nas referências)</v>
      </c>
      <c r="AG30" s="220" t="n">
        <f aca="true" t="array" ref="AG30:AG30">ROUND(IF(DESONERACAO="sim",REFERENCIA.Desonerado,REFERENCIA.NaoDesonerado),2)</f>
        <v>0</v>
      </c>
      <c r="AH30" s="221" t="n">
        <f aca="false">ROUND(IF(ISNUMBER(ORÇAMENTO.OpcaoBDI),ORÇAMENTO.OpcaoBDI,IF(LEFT(ORÇAMENTO.OpcaoBDI,3)="BDI",HLOOKUP(ORÇAMENTO.OpcaoBDI,$F$4:$H$5,2,FALSE()),0)),15-11*$AF$9)</f>
        <v>0.25</v>
      </c>
      <c r="AJ30" s="222" t="n">
        <v>317.27</v>
      </c>
      <c r="AL30" s="223"/>
      <c r="AM30" s="224" t="n">
        <f aca="false">$X30</f>
        <v>0</v>
      </c>
      <c r="AN30" s="225" t="n">
        <f aca="false" t="array" ref="AN30:AN30">ROUND(ORÇAMENTO.CustoUnitario*(1+$AH30),2)</f>
        <v>0</v>
      </c>
    </row>
    <row r="31" customFormat="false" ht="12.75" hidden="false" customHeight="false" outlineLevel="0" collapsed="false">
      <c r="A31" s="0" t="str">
        <f aca="false">CHOOSE(1+LOG(1+2*(ORÇAMENTO.Nivel="Meta")+4*(ORÇAMENTO.Nivel="Nível 2")+8*(ORÇAMENTO.Nivel="Nível 3")+16*(ORÇAMENTO.Nivel="Nível 4")+32*(ORÇAMENTO.Nivel="Serviço"),2),0,1,2,3,4,"S")</f>
        <v>S</v>
      </c>
      <c r="B31" s="0" t="n">
        <f aca="true">IF(OR(C31="s",C31=0),OFFSET(B31,-1,0),C31)</f>
        <v>2</v>
      </c>
      <c r="C31" s="0" t="str">
        <f aca="true">IF(OFFSET(C31,-1,0)="L",1,IF(OFFSET(C31,-1,0)=1,2,IF(OR(A31="s",A31=0),"S",IF(AND(OFFSET(C31,-1,0)=2,A31=4),3,IF(AND(OR(OFFSET(C31,-1,0)="s",OFFSET(C31,-1,0)=0),A31&lt;&gt;"s",A31&gt;OFFSET(B31,-1,0)),OFFSET(B31,-1,0),A31)))))</f>
        <v>S</v>
      </c>
      <c r="D31" s="0" t="n">
        <f aca="false">IF(OR(C31="S",C31=0),0,IF(ISERROR(K31),J31,SMALL(J31:K31,1)))</f>
        <v>0</v>
      </c>
      <c r="E31" s="0" t="n">
        <f aca="true">IF($C31=1,OFFSET(E31,-1,0)+MAX(1,COUNTIF(QCI!$A$13:$A$24,OFFSET(ORÇAMENTO!E31,-1,0))),OFFSET(E31,-1,0))</f>
        <v>1</v>
      </c>
      <c r="F31" s="0" t="n">
        <f aca="true">IF($C31=1,0,IF($C31=2,OFFSET(F31,-1,0)+1,OFFSET(F31,-1,0)))</f>
        <v>5</v>
      </c>
      <c r="G31" s="0" t="n">
        <f aca="true">IF(AND($C31&lt;=2,$C31&lt;&gt;0),0,IF($C31=3,OFFSET(G31,-1,0)+1,OFFSET(G31,-1,0)))</f>
        <v>0</v>
      </c>
      <c r="H31" s="0" t="n">
        <f aca="true">IF(AND($C31&lt;=3,$C31&lt;&gt;0),0,IF($C31=4,OFFSET(H31,-1,0)+1,OFFSET(H31,-1,0)))</f>
        <v>0</v>
      </c>
      <c r="I31" s="0" t="n">
        <f aca="true">IF(AND($C31&lt;=4,$C31&lt;&gt;0),0,IF(AND($C31="S",$X31&gt;0),OFFSET(I31,-1,0)+1,OFFSET(I31,-1,0)))</f>
        <v>0</v>
      </c>
      <c r="J31" s="0" t="n">
        <f aca="true">IF(OR($C31="S",$C31=0),0,MATCH(0,OFFSET($D31,1,$C31,ROW($C$59)-ROW($C31)),0))</f>
        <v>0</v>
      </c>
      <c r="K31" s="0" t="n">
        <f aca="true">IF(OR($C31="S",$C31=0),0,MATCH(OFFSET($D31,0,$C31)+IF($C31&lt;&gt;1,1,COUNTIF(QCI!$A$13:$A$24,ORÇAMENTO!E31)),OFFSET($D31,1,$C31,ROW($C$59)-ROW($C31)),0))</f>
        <v>0</v>
      </c>
      <c r="L31" s="204" t="str">
        <f aca="false">IF(OR($X31&gt;0,$C31=1,$C31=2,$C31=3,$C31=4),"F","")</f>
        <v/>
      </c>
      <c r="M31" s="205" t="s">
        <v>767</v>
      </c>
      <c r="N31" s="206" t="str">
        <f aca="false">CHOOSE(1+LOG(1+2*(C31=1)+4*(C31=2)+8*(C31=3)+16*(C31=4)+32*(C31="S"),2),"","Meta","Nível 2","Nível 3","Nível 4","Serviço")</f>
        <v>Serviço</v>
      </c>
      <c r="O31" s="207" t="str">
        <f aca="false">IF(OR($C31=0,$L31=""),"-",CONCATENATE(E31&amp;".",IF(AND($A$5&gt;=2,$C31&gt;=2),F31&amp;".",""),IF(AND($A$5&gt;=3,$C31&gt;=3),G31&amp;".",""),IF(AND($A$5&gt;=4,$C31&gt;=4),H31&amp;".",""),IF($C31="S",I31&amp;".","")))</f>
        <v>-</v>
      </c>
      <c r="P31" s="208" t="s">
        <v>768</v>
      </c>
      <c r="Q31" s="209" t="s">
        <v>840</v>
      </c>
      <c r="R31" s="240" t="str">
        <f aca="true" t="array" ref="R31:R31">IF($C31="S",REFERENCIA.Descricao,"(digite a descrição aqui)")</f>
        <v>(Código não identificado nas referências)</v>
      </c>
      <c r="S31" s="211" t="str">
        <f aca="true" t="array" ref="S31:S31">REFERENCIA.Unidade</f>
        <v>-</v>
      </c>
      <c r="T31" s="212" t="n">
        <f aca="true">OFFSET(CÁLCULO!H$15,ROW($T31)-ROW(T$15),0)</f>
        <v>4759.05</v>
      </c>
      <c r="U31" s="213" t="n">
        <f aca="false">AG31</f>
        <v>0</v>
      </c>
      <c r="V31" s="214" t="s">
        <v>723</v>
      </c>
      <c r="W31" s="212" t="n">
        <f aca="false" t="array" ref="W31:W31">IF($C31="S",ROUND(IF(TIPOORCAMENTO="Proposto",ORÇAMENTO.CustoUnitario*(1+$AH31),ORÇAMENTO.PrecoUnitarioLicitado),15-13*$AF$10),0)</f>
        <v>0</v>
      </c>
      <c r="X31" s="215" t="n">
        <f aca="true" t="array" ref="X31:X31">IF($C31="S",IF(OR(Import.TipoArredondamento&lt;&gt;"TransfereGOV",ACOMPANHAMENTO="BM"),VTOTAL1,SUM(OFFSET(CÁLCULO!$AA$15,ROW($X31)-ROW($X$15),1):OFFSET(CÁLCULO!$AL$15,ROW($X31)-ROW($X$15),-1))),IF($C31=0,0,ROUND(SomaAgrup,15-13*$AF$11)))</f>
        <v>0</v>
      </c>
      <c r="Y31" s="216" t="s">
        <v>776</v>
      </c>
      <c r="Z31" s="0" t="str">
        <f aca="false">IF(AND($C31="S",$X31&gt;0),IF(ISBLANK($Y31),"RA",LEFT($Y31,2)),"")</f>
        <v/>
      </c>
      <c r="AA31" s="217" t="n">
        <f aca="true" t="array" ref="AA31:AA31">IF($C31="S",IF($Z31="CP",$X31,IF($Z31="RA",(($X31)*QCI!$AA$3),0)),SomaAgrup)</f>
        <v>0</v>
      </c>
      <c r="AB31" s="218" t="n">
        <f aca="true" t="array" ref="AB31:AB31">IF($C31="S",IF($Z31="OU",ROUND($X31,2),0),SomaAgrup)</f>
        <v>0</v>
      </c>
      <c r="AC31" s="219" t="str">
        <f aca="false" t="array" ref="AC31:AC31">IF($N31=""," ",
IF(AND($C31&lt;&gt;"S",OR($R31="",$R31="(digite a descrição aqui)")),"DESCRIÇÃO",
IF(AND($C31="S",OR($Q31&lt;&gt;"",$T31&gt;0,$U31&gt;0),$P31=""),"FONTE",
IF(AND($C31="S",$P31&lt;&gt;"",OR($T31&gt;0,$U31&gt;0),$Q31=""),"CÓDIGO",
IF(AND($C31="S",$P31&lt;&gt;"",$Q31&lt;&gt;"",$R31="(Código não identificado nas referências)"),"CÓDIGO N/ID",
IF(AND($C31="S",OR($R31="",$R31="(digite a descrição aqui)"),OR($Q31&lt;&gt;"",$T31&gt;0,$U31&gt;0)),"DESCRIÇÃO",
IF(AND($C31="S",$P31&lt;&gt;"",$Q31&lt;&gt;"",$S31=""),"UNIDADE",
IF(AND($C31="S",$P31&lt;&gt;"",$Q31&lt;&gt;"",$U31=0),"SEM CUSTO",
IF(AND(TIPOORCAMENTO="Licitado",$AL31=0,$AN31&gt;0),"SEM PREÇO",
IF(AND($C31="S",$P31&lt;&gt;"",$Q31&lt;&gt;"",$U31&gt;0,AND($V31&lt;&gt;"BDI 1",$V31&lt;&gt;"BDI 2",$V31&lt;&gt;"BDI 3")),IF(ISNUMBER($V31),"JUSTIFICAR BDI","BDI"),
IF(OR(AND(import.recurso="OGU",TIPOORCAMENTO="Proposto",LEFT($O$8,5)&lt;&gt;"(N/D:",$AG31&lt;&gt;"",ORÇAMENTO.CustoUnitario&gt;$AG31),AND(TIPOORCAMENTO="LICITADO",ORÇAMENTO.PrecoUnitarioLicitado&gt;$AN31)),"ACIMA REF.",
IF(AND($C31="S",$P31&lt;&gt;"",$Q31&lt;&gt;"",$T31=0,$U31&gt;0),"QUANT.",
IF(AND(Import.TipoArredondamento="TransfereGOV",$L31="F",$C31="S",LEN($Q31)&gt;13),"Código &gt;13",
IF(AND(Import.TipoArredondamento="TransfereGOV",$L31="F",$C31&lt;&gt;"S",LEN($R31)&gt;100),"Descrição &gt;100",
IF(AND(Import.TipoArredondamento="TransfereGOV",$L31="F",$C31="S",LEN($R31)&gt;500),"Descrição &gt;500",
IF(AND(Import.TipoArredondamento="TransfereGOV",$L31="F",$C31="S",LEFT(TRIM(UPPER($P31)),6)&lt;&gt;"SINAPI",ISNA(VLOOKUP(TRIM(UPPER($S31)),ListaTgov.Unidades,1,FALSE()))),"Unid. Não Disp",
" "))))))))))))))))</f>
        <v>CÓDIGO N/ID</v>
      </c>
      <c r="AD31" s="0" t="str">
        <f aca="true">IF(C31&lt;=CRONO.NivelExibicao,MAX($AD$15:OFFSET(AD31,-1,0))+IF($C31&lt;&gt;1,1,MAX(1,COUNTIF(QCI!$A$13:$A$24,OFFSET($E31,-1,0)))),"")</f>
        <v/>
      </c>
      <c r="AE31" s="48" t="str">
        <f aca="false" t="array" ref="AE31:AE31">IF(AND($C31="S",ORÇAMENTO.CodBarra&lt;&gt;""),IF(ORÇAMENTO.Fonte="",ORÇAMENTO.CodBarra,CONCATENATE(ORÇAMENTO.Fonte," ",ORÇAMENTO.CodBarra)))</f>
        <v>SINAPI 95875</v>
      </c>
      <c r="AF31" s="63" t="str">
        <f aca="true" t="array" ref="AF31:AF31">IF(ISERROR(ORÇAMENTO.BancoRef),"(abra o arquivo 'Referência "&amp;Excel_BuiltIn_Database&amp;".xlsm)",IF(OR($C31&lt;&gt;"S",ORÇAMENTO.CodBarra=""),"(Sem Código)",IF(ISERROR(MATCH($AE31,INDIRECT(ORÇAMENTO.BancoRef),0)),"(Código não identificado nas referências)",MATCH($AE31,INDIRECT(ORÇAMENTO.BancoRef),0))))</f>
        <v>(Código não identificado nas referências)</v>
      </c>
      <c r="AG31" s="220" t="n">
        <f aca="true" t="array" ref="AG31:AG31">ROUND(IF(DESONERACAO="sim",REFERENCIA.Desonerado,REFERENCIA.NaoDesonerado),2)</f>
        <v>0</v>
      </c>
      <c r="AH31" s="221" t="n">
        <f aca="false">ROUND(IF(ISNUMBER(ORÇAMENTO.OpcaoBDI),ORÇAMENTO.OpcaoBDI,IF(LEFT(ORÇAMENTO.OpcaoBDI,3)="BDI",HLOOKUP(ORÇAMENTO.OpcaoBDI,$F$4:$H$5,2,FALSE()),0)),15-11*$AF$9)</f>
        <v>0.25</v>
      </c>
      <c r="AJ31" s="222" t="n">
        <f aca="false">AJ29*15</f>
        <v>4759.05</v>
      </c>
      <c r="AL31" s="223"/>
      <c r="AM31" s="224" t="n">
        <f aca="false">$X31</f>
        <v>0</v>
      </c>
      <c r="AN31" s="225" t="n">
        <f aca="false" t="array" ref="AN31:AN31">ROUND(ORÇAMENTO.CustoUnitario*(1+$AH31),2)</f>
        <v>0</v>
      </c>
    </row>
    <row r="32" customFormat="false" ht="12.75" hidden="false" customHeight="false" outlineLevel="0" collapsed="false">
      <c r="A32" s="0" t="n">
        <f aca="false">CHOOSE(1+LOG(1+2*(ORÇAMENTO.Nivel="Meta")+4*(ORÇAMENTO.Nivel="Nível 2")+8*(ORÇAMENTO.Nivel="Nível 3")+16*(ORÇAMENTO.Nivel="Nível 4")+32*(ORÇAMENTO.Nivel="Serviço"),2),0,1,2,3,4,"S")</f>
        <v>2</v>
      </c>
      <c r="B32" s="0" t="n">
        <f aca="true">IF(OR(C32="s",C32=0),OFFSET(B32,-1,0),C32)</f>
        <v>2</v>
      </c>
      <c r="C32" s="0" t="n">
        <f aca="true">IF(OFFSET(C32,-1,0)="L",1,IF(OFFSET(C32,-1,0)=1,2,IF(OR(A32="s",A32=0),"S",IF(AND(OFFSET(C32,-1,0)=2,A32=4),3,IF(AND(OR(OFFSET(C32,-1,0)="s",OFFSET(C32,-1,0)=0),A32&lt;&gt;"s",A32&gt;OFFSET(B32,-1,0)),OFFSET(B32,-1,0),A32)))))</f>
        <v>2</v>
      </c>
      <c r="D32" s="0" t="n">
        <f aca="false">IF(OR(C32="S",C32=0),0,IF(ISERROR(K32),J32,SMALL(J32:K32,1)))</f>
        <v>6</v>
      </c>
      <c r="E32" s="0" t="n">
        <f aca="true">IF($C32=1,OFFSET(E32,-1,0)+MAX(1,COUNTIF(QCI!$A$13:$A$24,OFFSET(ORÇAMENTO!E32,-1,0))),OFFSET(E32,-1,0))</f>
        <v>1</v>
      </c>
      <c r="F32" s="0" t="n">
        <f aca="true">IF($C32=1,0,IF($C32=2,OFFSET(F32,-1,0)+1,OFFSET(F32,-1,0)))</f>
        <v>6</v>
      </c>
      <c r="G32" s="0" t="n">
        <f aca="true">IF(AND($C32&lt;=2,$C32&lt;&gt;0),0,IF($C32=3,OFFSET(G32,-1,0)+1,OFFSET(G32,-1,0)))</f>
        <v>0</v>
      </c>
      <c r="H32" s="0" t="n">
        <f aca="true">IF(AND($C32&lt;=3,$C32&lt;&gt;0),0,IF($C32=4,OFFSET(H32,-1,0)+1,OFFSET(H32,-1,0)))</f>
        <v>0</v>
      </c>
      <c r="I32" s="0" t="n">
        <f aca="true">IF(AND($C32&lt;=4,$C32&lt;&gt;0),0,IF(AND($C32="S",$X32&gt;0),OFFSET(I32,-1,0)+1,OFFSET(I32,-1,0)))</f>
        <v>0</v>
      </c>
      <c r="J32" s="0" t="n">
        <f aca="true">IF(OR($C32="S",$C32=0),0,MATCH(0,OFFSET($D32,1,$C32,ROW($C$59)-ROW($C32)),0))</f>
        <v>27</v>
      </c>
      <c r="K32" s="0" t="n">
        <f aca="true">IF(OR($C32="S",$C32=0),0,MATCH(OFFSET($D32,0,$C32)+IF($C32&lt;&gt;1,1,COUNTIF(QCI!$A$13:$A$24,ORÇAMENTO!E32)),OFFSET($D32,1,$C32,ROW($C$59)-ROW($C32)),0))</f>
        <v>6</v>
      </c>
      <c r="L32" s="204" t="str">
        <f aca="false">IF(OR($X32&gt;0,$C32=1,$C32=2,$C32=3,$C32=4),"F","")</f>
        <v>F</v>
      </c>
      <c r="M32" s="205" t="s">
        <v>764</v>
      </c>
      <c r="N32" s="206" t="str">
        <f aca="false">CHOOSE(1+LOG(1+2*(C32=1)+4*(C32=2)+8*(C32=3)+16*(C32=4)+32*(C32="S"),2),"","Meta","Nível 2","Nível 3","Nível 4","Serviço")</f>
        <v>Nível 2</v>
      </c>
      <c r="O32" s="207" t="str">
        <f aca="false">IF(OR($C32=0,$L32=""),"-",CONCATENATE(E32&amp;".",IF(AND($A$5&gt;=2,$C32&gt;=2),F32&amp;".",""),IF(AND($A$5&gt;=3,$C32&gt;=3),G32&amp;".",""),IF(AND($A$5&gt;=4,$C32&gt;=4),H32&amp;".",""),IF($C32="S",I32&amp;".","")))</f>
        <v>1.6.</v>
      </c>
      <c r="P32" s="208" t="s">
        <v>768</v>
      </c>
      <c r="Q32" s="209"/>
      <c r="R32" s="240" t="s">
        <v>841</v>
      </c>
      <c r="S32" s="211" t="str">
        <f aca="true" t="array" ref="S32:S32">REFERENCIA.Unidade</f>
        <v>-</v>
      </c>
      <c r="T32" s="212" t="n">
        <f aca="true">OFFSET(CÁLCULO!H$15,ROW($T32)-ROW(T$15),0)</f>
        <v>0</v>
      </c>
      <c r="U32" s="213" t="n">
        <f aca="false">AG32</f>
        <v>0</v>
      </c>
      <c r="V32" s="214" t="s">
        <v>723</v>
      </c>
      <c r="W32" s="212" t="n">
        <f aca="false" t="array" ref="W32:W32">IF($C32="S",ROUND(IF(TIPOORCAMENTO="Proposto",ORÇAMENTO.CustoUnitario*(1+$AH32),ORÇAMENTO.PrecoUnitarioLicitado),15-13*$AF$10),0)</f>
        <v>0</v>
      </c>
      <c r="X32" s="215" t="n">
        <f aca="true" t="array" ref="X32:X32">IF($C32="S",IF(OR(Import.TipoArredondamento&lt;&gt;"TransfereGOV",ACOMPANHAMENTO="BM"),VTOTAL1,SUM(OFFSET(CÁLCULO!$AA$15,ROW($X32)-ROW($X$15),1):OFFSET(CÁLCULO!$AL$15,ROW($X32)-ROW($X$15),-1))),IF($C32=0,0,ROUND(SomaAgrup,15-13*$AF$11)))</f>
        <v>0</v>
      </c>
      <c r="Y32" s="216" t="s">
        <v>776</v>
      </c>
      <c r="Z32" s="0" t="str">
        <f aca="false">IF(AND($C32="S",$X32&gt;0),IF(ISBLANK($Y32),"RA",LEFT($Y32,2)),"")</f>
        <v/>
      </c>
      <c r="AA32" s="217" t="n">
        <f aca="true" t="array" ref="AA32:AA32">IF($C32="S",IF($Z32="CP",$X32,IF($Z32="RA",(($X32)*QCI!$AA$3),0)),SomaAgrup)</f>
        <v>0</v>
      </c>
      <c r="AB32" s="218" t="n">
        <f aca="true" t="array" ref="AB32:AB32">IF($C32="S",IF($Z32="OU",ROUND($X32,2),0),SomaAgrup)</f>
        <v>0</v>
      </c>
      <c r="AC32" s="219" t="str">
        <f aca="false" t="array" ref="AC32:AC32">IF($N32=""," ",
IF(AND($C32&lt;&gt;"S",OR($R32="",$R32="(digite a descrição aqui)")),"DESCRIÇÃO",
IF(AND($C32="S",OR($Q32&lt;&gt;"",$T32&gt;0,$U32&gt;0),$P32=""),"FONTE",
IF(AND($C32="S",$P32&lt;&gt;"",OR($T32&gt;0,$U32&gt;0),$Q32=""),"CÓDIGO",
IF(AND($C32="S",$P32&lt;&gt;"",$Q32&lt;&gt;"",$R32="(Código não identificado nas referências)"),"CÓDIGO N/ID",
IF(AND($C32="S",OR($R32="",$R32="(digite a descrição aqui)"),OR($Q32&lt;&gt;"",$T32&gt;0,$U32&gt;0)),"DESCRIÇÃO",
IF(AND($C32="S",$P32&lt;&gt;"",$Q32&lt;&gt;"",$S32=""),"UNIDADE",
IF(AND($C32="S",$P32&lt;&gt;"",$Q32&lt;&gt;"",$U32=0),"SEM CUSTO",
IF(AND(TIPOORCAMENTO="Licitado",$AL32=0,$AN32&gt;0),"SEM PREÇO",
IF(AND($C32="S",$P32&lt;&gt;"",$Q32&lt;&gt;"",$U32&gt;0,AND($V32&lt;&gt;"BDI 1",$V32&lt;&gt;"BDI 2",$V32&lt;&gt;"BDI 3")),IF(ISNUMBER($V32),"JUSTIFICAR BDI","BDI"),
IF(OR(AND(import.recurso="OGU",TIPOORCAMENTO="Proposto",LEFT($O$8,5)&lt;&gt;"(N/D:",$AG32&lt;&gt;"",ORÇAMENTO.CustoUnitario&gt;$AG32),AND(TIPOORCAMENTO="LICITADO",ORÇAMENTO.PrecoUnitarioLicitado&gt;$AN32)),"ACIMA REF.",
IF(AND($C32="S",$P32&lt;&gt;"",$Q32&lt;&gt;"",$T32=0,$U32&gt;0),"QUANT.",
IF(AND(Import.TipoArredondamento="TransfereGOV",$L32="F",$C32="S",LEN($Q32)&gt;13),"Código &gt;13",
IF(AND(Import.TipoArredondamento="TransfereGOV",$L32="F",$C32&lt;&gt;"S",LEN($R32)&gt;100),"Descrição &gt;100",
IF(AND(Import.TipoArredondamento="TransfereGOV",$L32="F",$C32="S",LEN($R32)&gt;500),"Descrição &gt;500",
IF(AND(Import.TipoArredondamento="TransfereGOV",$L32="F",$C32="S",LEFT(TRIM(UPPER($P32)),6)&lt;&gt;"SINAPI",ISNA(VLOOKUP(TRIM(UPPER($S32)),ListaTgov.Unidades,1,FALSE()))),"Unid. Não Disp",
" "))))))))))))))))</f>
        <v> </v>
      </c>
      <c r="AD32" s="0" t="n">
        <f aca="true">IF(C32&lt;=CRONO.NivelExibicao,MAX($AD$15:OFFSET(AD32,-1,0))+IF($C32&lt;&gt;1,1,MAX(1,COUNTIF(QCI!$A$13:$A$24,OFFSET($E32,-1,0)))),"")</f>
        <v>7</v>
      </c>
      <c r="AE32" s="48" t="n">
        <f aca="false" t="array" ref="AE32:AE32">IF(AND($C32="S",ORÇAMENTO.CodBarra&lt;&gt;""),IF(ORÇAMENTO.Fonte="",ORÇAMENTO.CodBarra,CONCATENATE(ORÇAMENTO.Fonte," ",ORÇAMENTO.CodBarra)))</f>
        <v>0</v>
      </c>
      <c r="AF32" s="63" t="str">
        <f aca="true" t="array" ref="AF32:AF32">IF(ISERROR(ORÇAMENTO.BancoRef),"(abra o arquivo 'Referência "&amp;Excel_BuiltIn_Database&amp;".xlsm)",IF(OR($C32&lt;&gt;"S",ORÇAMENTO.CodBarra=""),"(Sem Código)",IF(ISERROR(MATCH($AE32,INDIRECT(ORÇAMENTO.BancoRef),0)),"(Código não identificado nas referências)",MATCH($AE32,INDIRECT(ORÇAMENTO.BancoRef),0))))</f>
        <v>(Sem Código)</v>
      </c>
      <c r="AG32" s="220" t="n">
        <f aca="true" t="array" ref="AG32:AG32">ROUND(IF(DESONERACAO="sim",REFERENCIA.Desonerado,REFERENCIA.NaoDesonerado),2)</f>
        <v>0</v>
      </c>
      <c r="AH32" s="221" t="n">
        <f aca="false">ROUND(IF(ISNUMBER(ORÇAMENTO.OpcaoBDI),ORÇAMENTO.OpcaoBDI,IF(LEFT(ORÇAMENTO.OpcaoBDI,3)="BDI",HLOOKUP(ORÇAMENTO.OpcaoBDI,$F$4:$H$5,2,FALSE()),0)),15-11*$AF$9)</f>
        <v>0.25</v>
      </c>
      <c r="AJ32" s="222"/>
      <c r="AL32" s="223"/>
      <c r="AM32" s="224" t="n">
        <f aca="false">$X32</f>
        <v>0</v>
      </c>
      <c r="AN32" s="225" t="n">
        <f aca="false" t="array" ref="AN32:AN32">ROUND(ORÇAMENTO.CustoUnitario*(1+$AH32),2)</f>
        <v>0</v>
      </c>
    </row>
    <row r="33" customFormat="false" ht="12.75" hidden="false" customHeight="false" outlineLevel="0" collapsed="false">
      <c r="A33" s="0" t="str">
        <f aca="false">CHOOSE(1+LOG(1+2*(ORÇAMENTO.Nivel="Meta")+4*(ORÇAMENTO.Nivel="Nível 2")+8*(ORÇAMENTO.Nivel="Nível 3")+16*(ORÇAMENTO.Nivel="Nível 4")+32*(ORÇAMENTO.Nivel="Serviço"),2),0,1,2,3,4,"S")</f>
        <v>S</v>
      </c>
      <c r="B33" s="0" t="n">
        <f aca="true">IF(OR(C33="s",C33=0),OFFSET(B33,-1,0),C33)</f>
        <v>2</v>
      </c>
      <c r="C33" s="0" t="str">
        <f aca="true">IF(OFFSET(C33,-1,0)="L",1,IF(OFFSET(C33,-1,0)=1,2,IF(OR(A33="s",A33=0),"S",IF(AND(OFFSET(C33,-1,0)=2,A33=4),3,IF(AND(OR(OFFSET(C33,-1,0)="s",OFFSET(C33,-1,0)=0),A33&lt;&gt;"s",A33&gt;OFFSET(B33,-1,0)),OFFSET(B33,-1,0),A33)))))</f>
        <v>S</v>
      </c>
      <c r="D33" s="0" t="n">
        <f aca="false">IF(OR(C33="S",C33=0),0,IF(ISERROR(K33),J33,SMALL(J33:K33,1)))</f>
        <v>0</v>
      </c>
      <c r="E33" s="0" t="n">
        <f aca="true">IF($C33=1,OFFSET(E33,-1,0)+MAX(1,COUNTIF(QCI!$A$13:$A$24,OFFSET(ORÇAMENTO!E33,-1,0))),OFFSET(E33,-1,0))</f>
        <v>1</v>
      </c>
      <c r="F33" s="0" t="n">
        <f aca="true">IF($C33=1,0,IF($C33=2,OFFSET(F33,-1,0)+1,OFFSET(F33,-1,0)))</f>
        <v>6</v>
      </c>
      <c r="G33" s="0" t="n">
        <f aca="true">IF(AND($C33&lt;=2,$C33&lt;&gt;0),0,IF($C33=3,OFFSET(G33,-1,0)+1,OFFSET(G33,-1,0)))</f>
        <v>0</v>
      </c>
      <c r="H33" s="0" t="n">
        <f aca="true">IF(AND($C33&lt;=3,$C33&lt;&gt;0),0,IF($C33=4,OFFSET(H33,-1,0)+1,OFFSET(H33,-1,0)))</f>
        <v>0</v>
      </c>
      <c r="I33" s="0" t="n">
        <f aca="true">IF(AND($C33&lt;=4,$C33&lt;&gt;0),0,IF(AND($C33="S",$X33&gt;0),OFFSET(I33,-1,0)+1,OFFSET(I33,-1,0)))</f>
        <v>0</v>
      </c>
      <c r="J33" s="0" t="n">
        <f aca="true">IF(OR($C33="S",$C33=0),0,MATCH(0,OFFSET($D33,1,$C33,ROW($C$59)-ROW($C33)),0))</f>
        <v>0</v>
      </c>
      <c r="K33" s="0" t="n">
        <f aca="true">IF(OR($C33="S",$C33=0),0,MATCH(OFFSET($D33,0,$C33)+IF($C33&lt;&gt;1,1,COUNTIF(QCI!$A$13:$A$24,ORÇAMENTO!E33)),OFFSET($D33,1,$C33,ROW($C$59)-ROW($C33)),0))</f>
        <v>0</v>
      </c>
      <c r="L33" s="204" t="str">
        <f aca="false">IF(OR($X33&gt;0,$C33=1,$C33=2,$C33=3,$C33=4),"F","")</f>
        <v/>
      </c>
      <c r="M33" s="205" t="s">
        <v>767</v>
      </c>
      <c r="N33" s="206" t="str">
        <f aca="false">CHOOSE(1+LOG(1+2*(C33=1)+4*(C33=2)+8*(C33=3)+16*(C33=4)+32*(C33="S"),2),"","Meta","Nível 2","Nível 3","Nível 4","Serviço")</f>
        <v>Serviço</v>
      </c>
      <c r="O33" s="207" t="str">
        <f aca="false">IF(OR($C33=0,$L33=""),"-",CONCATENATE(E33&amp;".",IF(AND($A$5&gt;=2,$C33&gt;=2),F33&amp;".",""),IF(AND($A$5&gt;=3,$C33&gt;=3),G33&amp;".",""),IF(AND($A$5&gt;=4,$C33&gt;=4),H33&amp;".",""),IF($C33="S",I33&amp;".","")))</f>
        <v>-</v>
      </c>
      <c r="P33" s="208" t="s">
        <v>771</v>
      </c>
      <c r="Q33" s="209" t="s">
        <v>842</v>
      </c>
      <c r="R33" s="240" t="str">
        <f aca="true" t="array" ref="R33:R33">IF($C33="S",REFERENCIA.Descricao,"(digite a descrição aqui)")</f>
        <v>(Código não identificado nas referências)</v>
      </c>
      <c r="S33" s="211" t="str">
        <f aca="true" t="array" ref="S33:S33">REFERENCIA.Unidade</f>
        <v>-</v>
      </c>
      <c r="T33" s="212" t="n">
        <f aca="true">OFFSET(CÁLCULO!H$15,ROW($T33)-ROW(T$15),0)</f>
        <v>186</v>
      </c>
      <c r="U33" s="213" t="n">
        <f aca="false">AG33</f>
        <v>0</v>
      </c>
      <c r="V33" s="214" t="s">
        <v>723</v>
      </c>
      <c r="W33" s="212" t="n">
        <f aca="false" t="array" ref="W33:W33">IF($C33="S",ROUND(IF(TIPOORCAMENTO="Proposto",ORÇAMENTO.CustoUnitario*(1+$AH33),ORÇAMENTO.PrecoUnitarioLicitado),15-13*$AF$10),0)</f>
        <v>0</v>
      </c>
      <c r="X33" s="215" t="n">
        <f aca="true" t="array" ref="X33:X33">IF($C33="S",IF(OR(Import.TipoArredondamento&lt;&gt;"TransfereGOV",ACOMPANHAMENTO="BM"),VTOTAL1,SUM(OFFSET(CÁLCULO!$AA$15,ROW($X33)-ROW($X$15),1):OFFSET(CÁLCULO!$AL$15,ROW($X33)-ROW($X$15),-1))),IF($C33=0,0,ROUND(SomaAgrup,15-13*$AF$11)))</f>
        <v>0</v>
      </c>
      <c r="Y33" s="216" t="s">
        <v>776</v>
      </c>
      <c r="Z33" s="0" t="str">
        <f aca="false">IF(AND($C33="S",$X33&gt;0),IF(ISBLANK($Y33),"RA",LEFT($Y33,2)),"")</f>
        <v/>
      </c>
      <c r="AA33" s="217" t="n">
        <f aca="true" t="array" ref="AA33:AA33">IF($C33="S",IF($Z33="CP",$X33,IF($Z33="RA",(($X33)*QCI!$AA$3),0)),SomaAgrup)</f>
        <v>0</v>
      </c>
      <c r="AB33" s="218" t="n">
        <f aca="true" t="array" ref="AB33:AB33">IF($C33="S",IF($Z33="OU",ROUND($X33,2),0),SomaAgrup)</f>
        <v>0</v>
      </c>
      <c r="AC33" s="219" t="str">
        <f aca="false" t="array" ref="AC33:AC33">IF($N33=""," ",
IF(AND($C33&lt;&gt;"S",OR($R33="",$R33="(digite a descrição aqui)")),"DESCRIÇÃO",
IF(AND($C33="S",OR($Q33&lt;&gt;"",$T33&gt;0,$U33&gt;0),$P33=""),"FONTE",
IF(AND($C33="S",$P33&lt;&gt;"",OR($T33&gt;0,$U33&gt;0),$Q33=""),"CÓDIGO",
IF(AND($C33="S",$P33&lt;&gt;"",$Q33&lt;&gt;"",$R33="(Código não identificado nas referências)"),"CÓDIGO N/ID",
IF(AND($C33="S",OR($R33="",$R33="(digite a descrição aqui)"),OR($Q33&lt;&gt;"",$T33&gt;0,$U33&gt;0)),"DESCRIÇÃO",
IF(AND($C33="S",$P33&lt;&gt;"",$Q33&lt;&gt;"",$S33=""),"UNIDADE",
IF(AND($C33="S",$P33&lt;&gt;"",$Q33&lt;&gt;"",$U33=0),"SEM CUSTO",
IF(AND(TIPOORCAMENTO="Licitado",$AL33=0,$AN33&gt;0),"SEM PREÇO",
IF(AND($C33="S",$P33&lt;&gt;"",$Q33&lt;&gt;"",$U33&gt;0,AND($V33&lt;&gt;"BDI 1",$V33&lt;&gt;"BDI 2",$V33&lt;&gt;"BDI 3")),IF(ISNUMBER($V33),"JUSTIFICAR BDI","BDI"),
IF(OR(AND(import.recurso="OGU",TIPOORCAMENTO="Proposto",LEFT($O$8,5)&lt;&gt;"(N/D:",$AG33&lt;&gt;"",ORÇAMENTO.CustoUnitario&gt;$AG33),AND(TIPOORCAMENTO="LICITADO",ORÇAMENTO.PrecoUnitarioLicitado&gt;$AN33)),"ACIMA REF.",
IF(AND($C33="S",$P33&lt;&gt;"",$Q33&lt;&gt;"",$T33=0,$U33&gt;0),"QUANT.",
IF(AND(Import.TipoArredondamento="TransfereGOV",$L33="F",$C33="S",LEN($Q33)&gt;13),"Código &gt;13",
IF(AND(Import.TipoArredondamento="TransfereGOV",$L33="F",$C33&lt;&gt;"S",LEN($R33)&gt;100),"Descrição &gt;100",
IF(AND(Import.TipoArredondamento="TransfereGOV",$L33="F",$C33="S",LEN($R33)&gt;500),"Descrição &gt;500",
IF(AND(Import.TipoArredondamento="TransfereGOV",$L33="F",$C33="S",LEFT(TRIM(UPPER($P33)),6)&lt;&gt;"SINAPI",ISNA(VLOOKUP(TRIM(UPPER($S33)),ListaTgov.Unidades,1,FALSE()))),"Unid. Não Disp",
" "))))))))))))))))</f>
        <v>CÓDIGO N/ID</v>
      </c>
      <c r="AD33" s="0" t="str">
        <f aca="true">IF(C33&lt;=CRONO.NivelExibicao,MAX($AD$15:OFFSET(AD33,-1,0))+IF($C33&lt;&gt;1,1,MAX(1,COUNTIF(QCI!$A$13:$A$24,OFFSET($E33,-1,0)))),"")</f>
        <v/>
      </c>
      <c r="AE33" s="48" t="str">
        <f aca="false" t="array" ref="AE33:AE33">IF(AND($C33="S",ORÇAMENTO.CodBarra&lt;&gt;""),IF(ORÇAMENTO.Fonte="",ORÇAMENTO.CodBarra,CONCATENATE(ORÇAMENTO.Fonte," ",ORÇAMENTO.CodBarra)))</f>
        <v>Composição 03</v>
      </c>
      <c r="AF33" s="63" t="str">
        <f aca="true" t="array" ref="AF33:AF33">IF(ISERROR(ORÇAMENTO.BancoRef),"(abra o arquivo 'Referência "&amp;Excel_BuiltIn_Database&amp;".xlsm)",IF(OR($C33&lt;&gt;"S",ORÇAMENTO.CodBarra=""),"(Sem Código)",IF(ISERROR(MATCH($AE33,INDIRECT(ORÇAMENTO.BancoRef),0)),"(Código não identificado nas referências)",MATCH($AE33,INDIRECT(ORÇAMENTO.BancoRef),0))))</f>
        <v>(Código não identificado nas referências)</v>
      </c>
      <c r="AG33" s="220" t="n">
        <f aca="true" t="array" ref="AG33:AG33">ROUND(IF(DESONERACAO="sim",REFERENCIA.Desonerado,REFERENCIA.NaoDesonerado),2)</f>
        <v>0</v>
      </c>
      <c r="AH33" s="221" t="n">
        <f aca="false">ROUND(IF(ISNUMBER(ORÇAMENTO.OpcaoBDI),ORÇAMENTO.OpcaoBDI,IF(LEFT(ORÇAMENTO.OpcaoBDI,3)="BDI",HLOOKUP(ORÇAMENTO.OpcaoBDI,$F$4:$H$5,2,FALSE()),0)),15-11*$AF$9)</f>
        <v>0.25</v>
      </c>
      <c r="AJ33" s="222" t="n">
        <v>186</v>
      </c>
      <c r="AL33" s="223"/>
      <c r="AM33" s="224" t="n">
        <f aca="false">$X33</f>
        <v>0</v>
      </c>
      <c r="AN33" s="225" t="n">
        <f aca="false" t="array" ref="AN33:AN33">ROUND(ORÇAMENTO.CustoUnitario*(1+$AH33),2)</f>
        <v>0</v>
      </c>
    </row>
    <row r="34" customFormat="false" ht="12.75" hidden="false" customHeight="false" outlineLevel="0" collapsed="false">
      <c r="A34" s="0" t="str">
        <f aca="false">CHOOSE(1+LOG(1+2*(ORÇAMENTO.Nivel="Meta")+4*(ORÇAMENTO.Nivel="Nível 2")+8*(ORÇAMENTO.Nivel="Nível 3")+16*(ORÇAMENTO.Nivel="Nível 4")+32*(ORÇAMENTO.Nivel="Serviço"),2),0,1,2,3,4,"S")</f>
        <v>S</v>
      </c>
      <c r="B34" s="0" t="n">
        <f aca="true">IF(OR(C34="s",C34=0),OFFSET(B34,-1,0),C34)</f>
        <v>2</v>
      </c>
      <c r="C34" s="0" t="str">
        <f aca="true">IF(OFFSET(C34,-1,0)="L",1,IF(OFFSET(C34,-1,0)=1,2,IF(OR(A34="s",A34=0),"S",IF(AND(OFFSET(C34,-1,0)=2,A34=4),3,IF(AND(OR(OFFSET(C34,-1,0)="s",OFFSET(C34,-1,0)=0),A34&lt;&gt;"s",A34&gt;OFFSET(B34,-1,0)),OFFSET(B34,-1,0),A34)))))</f>
        <v>S</v>
      </c>
      <c r="D34" s="0" t="n">
        <f aca="false">IF(OR(C34="S",C34=0),0,IF(ISERROR(K34),J34,SMALL(J34:K34,1)))</f>
        <v>0</v>
      </c>
      <c r="E34" s="0" t="n">
        <f aca="true">IF($C34=1,OFFSET(E34,-1,0)+MAX(1,COUNTIF(QCI!$A$13:$A$24,OFFSET(ORÇAMENTO!E34,-1,0))),OFFSET(E34,-1,0))</f>
        <v>1</v>
      </c>
      <c r="F34" s="0" t="n">
        <f aca="true">IF($C34=1,0,IF($C34=2,OFFSET(F34,-1,0)+1,OFFSET(F34,-1,0)))</f>
        <v>6</v>
      </c>
      <c r="G34" s="0" t="n">
        <f aca="true">IF(AND($C34&lt;=2,$C34&lt;&gt;0),0,IF($C34=3,OFFSET(G34,-1,0)+1,OFFSET(G34,-1,0)))</f>
        <v>0</v>
      </c>
      <c r="H34" s="0" t="n">
        <f aca="true">IF(AND($C34&lt;=3,$C34&lt;&gt;0),0,IF($C34=4,OFFSET(H34,-1,0)+1,OFFSET(H34,-1,0)))</f>
        <v>0</v>
      </c>
      <c r="I34" s="0" t="n">
        <f aca="true">IF(AND($C34&lt;=4,$C34&lt;&gt;0),0,IF(AND($C34="S",$X34&gt;0),OFFSET(I34,-1,0)+1,OFFSET(I34,-1,0)))</f>
        <v>0</v>
      </c>
      <c r="J34" s="0" t="n">
        <f aca="true">IF(OR($C34="S",$C34=0),0,MATCH(0,OFFSET($D34,1,$C34,ROW($C$59)-ROW($C34)),0))</f>
        <v>0</v>
      </c>
      <c r="K34" s="0" t="n">
        <f aca="true">IF(OR($C34="S",$C34=0),0,MATCH(OFFSET($D34,0,$C34)+IF($C34&lt;&gt;1,1,COUNTIF(QCI!$A$13:$A$24,ORÇAMENTO!E34)),OFFSET($D34,1,$C34,ROW($C$59)-ROW($C34)),0))</f>
        <v>0</v>
      </c>
      <c r="L34" s="204" t="str">
        <f aca="false">IF(OR($X34&gt;0,$C34=1,$C34=2,$C34=3,$C34=4),"F","")</f>
        <v/>
      </c>
      <c r="M34" s="205" t="s">
        <v>767</v>
      </c>
      <c r="N34" s="206" t="str">
        <f aca="false">CHOOSE(1+LOG(1+2*(C34=1)+4*(C34=2)+8*(C34=3)+16*(C34=4)+32*(C34="S"),2),"","Meta","Nível 2","Nível 3","Nível 4","Serviço")</f>
        <v>Serviço</v>
      </c>
      <c r="O34" s="207" t="str">
        <f aca="false">IF(OR($C34=0,$L34=""),"-",CONCATENATE(E34&amp;".",IF(AND($A$5&gt;=2,$C34&gt;=2),F34&amp;".",""),IF(AND($A$5&gt;=3,$C34&gt;=3),G34&amp;".",""),IF(AND($A$5&gt;=4,$C34&gt;=4),H34&amp;".",""),IF($C34="S",I34&amp;".","")))</f>
        <v>-</v>
      </c>
      <c r="P34" s="208" t="s">
        <v>771</v>
      </c>
      <c r="Q34" s="209" t="s">
        <v>843</v>
      </c>
      <c r="R34" s="240" t="str">
        <f aca="true" t="array" ref="R34:R34">IF($C34="S",REFERENCIA.Descricao,"(digite a descrição aqui)")</f>
        <v>(Código não identificado nas referências)</v>
      </c>
      <c r="S34" s="211" t="str">
        <f aca="true" t="array" ref="S34:S34">REFERENCIA.Unidade</f>
        <v>-</v>
      </c>
      <c r="T34" s="212" t="n">
        <f aca="true">OFFSET(CÁLCULO!H$15,ROW($T34)-ROW(T$15),0)</f>
        <v>186</v>
      </c>
      <c r="U34" s="213" t="n">
        <f aca="false">AG34</f>
        <v>0</v>
      </c>
      <c r="V34" s="214" t="s">
        <v>723</v>
      </c>
      <c r="W34" s="212" t="n">
        <f aca="false" t="array" ref="W34:W34">IF($C34="S",ROUND(IF(TIPOORCAMENTO="Proposto",ORÇAMENTO.CustoUnitario*(1+$AH34),ORÇAMENTO.PrecoUnitarioLicitado),15-13*$AF$10),0)</f>
        <v>0</v>
      </c>
      <c r="X34" s="215" t="n">
        <f aca="true" t="array" ref="X34:X34">IF($C34="S",IF(OR(Import.TipoArredondamento&lt;&gt;"TransfereGOV",ACOMPANHAMENTO="BM"),VTOTAL1,SUM(OFFSET(CÁLCULO!$AA$15,ROW($X34)-ROW($X$15),1):OFFSET(CÁLCULO!$AL$15,ROW($X34)-ROW($X$15),-1))),IF($C34=0,0,ROUND(SomaAgrup,15-13*$AF$11)))</f>
        <v>0</v>
      </c>
      <c r="Y34" s="216" t="s">
        <v>776</v>
      </c>
      <c r="Z34" s="0" t="str">
        <f aca="false">IF(AND($C34="S",$X34&gt;0),IF(ISBLANK($Y34),"RA",LEFT($Y34,2)),"")</f>
        <v/>
      </c>
      <c r="AA34" s="217" t="n">
        <f aca="true" t="array" ref="AA34:AA34">IF($C34="S",IF($Z34="CP",$X34,IF($Z34="RA",(($X34)*QCI!$AA$3),0)),SomaAgrup)</f>
        <v>0</v>
      </c>
      <c r="AB34" s="218" t="n">
        <f aca="true" t="array" ref="AB34:AB34">IF($C34="S",IF($Z34="OU",ROUND($X34,2),0),SomaAgrup)</f>
        <v>0</v>
      </c>
      <c r="AC34" s="219" t="str">
        <f aca="false" t="array" ref="AC34:AC34">IF($N34=""," ",
IF(AND($C34&lt;&gt;"S",OR($R34="",$R34="(digite a descrição aqui)")),"DESCRIÇÃO",
IF(AND($C34="S",OR($Q34&lt;&gt;"",$T34&gt;0,$U34&gt;0),$P34=""),"FONTE",
IF(AND($C34="S",$P34&lt;&gt;"",OR($T34&gt;0,$U34&gt;0),$Q34=""),"CÓDIGO",
IF(AND($C34="S",$P34&lt;&gt;"",$Q34&lt;&gt;"",$R34="(Código não identificado nas referências)"),"CÓDIGO N/ID",
IF(AND($C34="S",OR($R34="",$R34="(digite a descrição aqui)"),OR($Q34&lt;&gt;"",$T34&gt;0,$U34&gt;0)),"DESCRIÇÃO",
IF(AND($C34="S",$P34&lt;&gt;"",$Q34&lt;&gt;"",$S34=""),"UNIDADE",
IF(AND($C34="S",$P34&lt;&gt;"",$Q34&lt;&gt;"",$U34=0),"SEM CUSTO",
IF(AND(TIPOORCAMENTO="Licitado",$AL34=0,$AN34&gt;0),"SEM PREÇO",
IF(AND($C34="S",$P34&lt;&gt;"",$Q34&lt;&gt;"",$U34&gt;0,AND($V34&lt;&gt;"BDI 1",$V34&lt;&gt;"BDI 2",$V34&lt;&gt;"BDI 3")),IF(ISNUMBER($V34),"JUSTIFICAR BDI","BDI"),
IF(OR(AND(import.recurso="OGU",TIPOORCAMENTO="Proposto",LEFT($O$8,5)&lt;&gt;"(N/D:",$AG34&lt;&gt;"",ORÇAMENTO.CustoUnitario&gt;$AG34),AND(TIPOORCAMENTO="LICITADO",ORÇAMENTO.PrecoUnitarioLicitado&gt;$AN34)),"ACIMA REF.",
IF(AND($C34="S",$P34&lt;&gt;"",$Q34&lt;&gt;"",$T34=0,$U34&gt;0),"QUANT.",
IF(AND(Import.TipoArredondamento="TransfereGOV",$L34="F",$C34="S",LEN($Q34)&gt;13),"Código &gt;13",
IF(AND(Import.TipoArredondamento="TransfereGOV",$L34="F",$C34&lt;&gt;"S",LEN($R34)&gt;100),"Descrição &gt;100",
IF(AND(Import.TipoArredondamento="TransfereGOV",$L34="F",$C34="S",LEN($R34)&gt;500),"Descrição &gt;500",
IF(AND(Import.TipoArredondamento="TransfereGOV",$L34="F",$C34="S",LEFT(TRIM(UPPER($P34)),6)&lt;&gt;"SINAPI",ISNA(VLOOKUP(TRIM(UPPER($S34)),ListaTgov.Unidades,1,FALSE()))),"Unid. Não Disp",
" "))))))))))))))))</f>
        <v>CÓDIGO N/ID</v>
      </c>
      <c r="AD34" s="0" t="str">
        <f aca="true">IF(C34&lt;=CRONO.NivelExibicao,MAX($AD$15:OFFSET(AD34,-1,0))+IF($C34&lt;&gt;1,1,MAX(1,COUNTIF(QCI!$A$13:$A$24,OFFSET($E34,-1,0)))),"")</f>
        <v/>
      </c>
      <c r="AE34" s="48" t="str">
        <f aca="false" t="array" ref="AE34:AE34">IF(AND($C34="S",ORÇAMENTO.CodBarra&lt;&gt;""),IF(ORÇAMENTO.Fonte="",ORÇAMENTO.CodBarra,CONCATENATE(ORÇAMENTO.Fonte," ",ORÇAMENTO.CodBarra)))</f>
        <v>Composição 04</v>
      </c>
      <c r="AF34" s="63" t="str">
        <f aca="true" t="array" ref="AF34:AF34">IF(ISERROR(ORÇAMENTO.BancoRef),"(abra o arquivo 'Referência "&amp;Excel_BuiltIn_Database&amp;".xlsm)",IF(OR($C34&lt;&gt;"S",ORÇAMENTO.CodBarra=""),"(Sem Código)",IF(ISERROR(MATCH($AE34,INDIRECT(ORÇAMENTO.BancoRef),0)),"(Código não identificado nas referências)",MATCH($AE34,INDIRECT(ORÇAMENTO.BancoRef),0))))</f>
        <v>(Código não identificado nas referências)</v>
      </c>
      <c r="AG34" s="220" t="n">
        <f aca="true" t="array" ref="AG34:AG34">ROUND(IF(DESONERACAO="sim",REFERENCIA.Desonerado,REFERENCIA.NaoDesonerado),2)</f>
        <v>0</v>
      </c>
      <c r="AH34" s="221" t="n">
        <f aca="false">ROUND(IF(ISNUMBER(ORÇAMENTO.OpcaoBDI),ORÇAMENTO.OpcaoBDI,IF(LEFT(ORÇAMENTO.OpcaoBDI,3)="BDI",HLOOKUP(ORÇAMENTO.OpcaoBDI,$F$4:$H$5,2,FALSE()),0)),15-11*$AF$9)</f>
        <v>0.25</v>
      </c>
      <c r="AJ34" s="222" t="n">
        <v>186</v>
      </c>
      <c r="AL34" s="223"/>
      <c r="AM34" s="224" t="n">
        <f aca="false">$X34</f>
        <v>0</v>
      </c>
      <c r="AN34" s="225" t="n">
        <f aca="false" t="array" ref="AN34:AN34">ROUND(ORÇAMENTO.CustoUnitario*(1+$AH34),2)</f>
        <v>0</v>
      </c>
    </row>
    <row r="35" customFormat="false" ht="12.75" hidden="false" customHeight="false" outlineLevel="0" collapsed="false">
      <c r="A35" s="0" t="str">
        <f aca="false">CHOOSE(1+LOG(1+2*(ORÇAMENTO.Nivel="Meta")+4*(ORÇAMENTO.Nivel="Nível 2")+8*(ORÇAMENTO.Nivel="Nível 3")+16*(ORÇAMENTO.Nivel="Nível 4")+32*(ORÇAMENTO.Nivel="Serviço"),2),0,1,2,3,4,"S")</f>
        <v>S</v>
      </c>
      <c r="B35" s="0" t="n">
        <f aca="true">IF(OR(C35="s",C35=0),OFFSET(B35,-1,0),C35)</f>
        <v>2</v>
      </c>
      <c r="C35" s="0" t="str">
        <f aca="true">IF(OFFSET(C35,-1,0)="L",1,IF(OFFSET(C35,-1,0)=1,2,IF(OR(A35="s",A35=0),"S",IF(AND(OFFSET(C35,-1,0)=2,A35=4),3,IF(AND(OR(OFFSET(C35,-1,0)="s",OFFSET(C35,-1,0)=0),A35&lt;&gt;"s",A35&gt;OFFSET(B35,-1,0)),OFFSET(B35,-1,0),A35)))))</f>
        <v>S</v>
      </c>
      <c r="D35" s="0" t="n">
        <f aca="false">IF(OR(C35="S",C35=0),0,IF(ISERROR(K35),J35,SMALL(J35:K35,1)))</f>
        <v>0</v>
      </c>
      <c r="E35" s="0" t="n">
        <f aca="true">IF($C35=1,OFFSET(E35,-1,0)+MAX(1,COUNTIF(QCI!$A$13:$A$24,OFFSET(ORÇAMENTO!E35,-1,0))),OFFSET(E35,-1,0))</f>
        <v>1</v>
      </c>
      <c r="F35" s="0" t="n">
        <f aca="true">IF($C35=1,0,IF($C35=2,OFFSET(F35,-1,0)+1,OFFSET(F35,-1,0)))</f>
        <v>6</v>
      </c>
      <c r="G35" s="0" t="n">
        <f aca="true">IF(AND($C35&lt;=2,$C35&lt;&gt;0),0,IF($C35=3,OFFSET(G35,-1,0)+1,OFFSET(G35,-1,0)))</f>
        <v>0</v>
      </c>
      <c r="H35" s="0" t="n">
        <f aca="true">IF(AND($C35&lt;=3,$C35&lt;&gt;0),0,IF($C35=4,OFFSET(H35,-1,0)+1,OFFSET(H35,-1,0)))</f>
        <v>0</v>
      </c>
      <c r="I35" s="0" t="n">
        <f aca="true">IF(AND($C35&lt;=4,$C35&lt;&gt;0),0,IF(AND($C35="S",$X35&gt;0),OFFSET(I35,-1,0)+1,OFFSET(I35,-1,0)))</f>
        <v>0</v>
      </c>
      <c r="J35" s="0" t="n">
        <f aca="true">IF(OR($C35="S",$C35=0),0,MATCH(0,OFFSET($D35,1,$C35,ROW($C$59)-ROW($C35)),0))</f>
        <v>0</v>
      </c>
      <c r="K35" s="0" t="n">
        <f aca="true">IF(OR($C35="S",$C35=0),0,MATCH(OFFSET($D35,0,$C35)+IF($C35&lt;&gt;1,1,COUNTIF(QCI!$A$13:$A$24,ORÇAMENTO!E35)),OFFSET($D35,1,$C35,ROW($C$59)-ROW($C35)),0))</f>
        <v>0</v>
      </c>
      <c r="L35" s="204" t="str">
        <f aca="false">IF(OR($X35&gt;0,$C35=1,$C35=2,$C35=3,$C35=4),"F","")</f>
        <v/>
      </c>
      <c r="M35" s="205" t="s">
        <v>767</v>
      </c>
      <c r="N35" s="206" t="str">
        <f aca="false">CHOOSE(1+LOG(1+2*(C35=1)+4*(C35=2)+8*(C35=3)+16*(C35=4)+32*(C35="S"),2),"","Meta","Nível 2","Nível 3","Nível 4","Serviço")</f>
        <v>Serviço</v>
      </c>
      <c r="O35" s="207" t="str">
        <f aca="false">IF(OR($C35=0,$L35=""),"-",CONCATENATE(E35&amp;".",IF(AND($A$5&gt;=2,$C35&gt;=2),F35&amp;".",""),IF(AND($A$5&gt;=3,$C35&gt;=3),G35&amp;".",""),IF(AND($A$5&gt;=4,$C35&gt;=4),H35&amp;".",""),IF($C35="S",I35&amp;".","")))</f>
        <v>-</v>
      </c>
      <c r="P35" s="208" t="s">
        <v>771</v>
      </c>
      <c r="Q35" s="209" t="s">
        <v>844</v>
      </c>
      <c r="R35" s="240" t="str">
        <f aca="true" t="array" ref="R35:R35">IF($C35="S",REFERENCIA.Descricao,"(digite a descrição aqui)")</f>
        <v>(Código não identificado nas referências)</v>
      </c>
      <c r="S35" s="211" t="str">
        <f aca="true" t="array" ref="S35:S35">REFERENCIA.Unidade</f>
        <v>-</v>
      </c>
      <c r="T35" s="212" t="n">
        <f aca="true">OFFSET(CÁLCULO!H$15,ROW($T35)-ROW(T$15),0)</f>
        <v>881.08</v>
      </c>
      <c r="U35" s="213" t="n">
        <f aca="false">AG35</f>
        <v>0</v>
      </c>
      <c r="V35" s="214" t="s">
        <v>723</v>
      </c>
      <c r="W35" s="212" t="n">
        <f aca="false" t="array" ref="W35:W35">IF($C35="S",ROUND(IF(TIPOORCAMENTO="Proposto",ORÇAMENTO.CustoUnitario*(1+$AH35),ORÇAMENTO.PrecoUnitarioLicitado),15-13*$AF$10),0)</f>
        <v>0</v>
      </c>
      <c r="X35" s="215" t="n">
        <f aca="true" t="array" ref="X35:X35">IF($C35="S",IF(OR(Import.TipoArredondamento&lt;&gt;"TransfereGOV",ACOMPANHAMENTO="BM"),VTOTAL1,SUM(OFFSET(CÁLCULO!$AA$15,ROW($X35)-ROW($X$15),1):OFFSET(CÁLCULO!$AL$15,ROW($X35)-ROW($X$15),-1))),IF($C35=0,0,ROUND(SomaAgrup,15-13*$AF$11)))</f>
        <v>0</v>
      </c>
      <c r="Y35" s="216" t="s">
        <v>776</v>
      </c>
      <c r="Z35" s="0" t="str">
        <f aca="false">IF(AND($C35="S",$X35&gt;0),IF(ISBLANK($Y35),"RA",LEFT($Y35,2)),"")</f>
        <v/>
      </c>
      <c r="AA35" s="217" t="n">
        <f aca="true" t="array" ref="AA35:AA35">IF($C35="S",IF($Z35="CP",$X35,IF($Z35="RA",(($X35)*QCI!$AA$3),0)),SomaAgrup)</f>
        <v>0</v>
      </c>
      <c r="AB35" s="218" t="n">
        <f aca="true" t="array" ref="AB35:AB35">IF($C35="S",IF($Z35="OU",ROUND($X35,2),0),SomaAgrup)</f>
        <v>0</v>
      </c>
      <c r="AC35" s="219" t="str">
        <f aca="false" t="array" ref="AC35:AC35">IF($N35=""," ",
IF(AND($C35&lt;&gt;"S",OR($R35="",$R35="(digite a descrição aqui)")),"DESCRIÇÃO",
IF(AND($C35="S",OR($Q35&lt;&gt;"",$T35&gt;0,$U35&gt;0),$P35=""),"FONTE",
IF(AND($C35="S",$P35&lt;&gt;"",OR($T35&gt;0,$U35&gt;0),$Q35=""),"CÓDIGO",
IF(AND($C35="S",$P35&lt;&gt;"",$Q35&lt;&gt;"",$R35="(Código não identificado nas referências)"),"CÓDIGO N/ID",
IF(AND($C35="S",OR($R35="",$R35="(digite a descrição aqui)"),OR($Q35&lt;&gt;"",$T35&gt;0,$U35&gt;0)),"DESCRIÇÃO",
IF(AND($C35="S",$P35&lt;&gt;"",$Q35&lt;&gt;"",$S35=""),"UNIDADE",
IF(AND($C35="S",$P35&lt;&gt;"",$Q35&lt;&gt;"",$U35=0),"SEM CUSTO",
IF(AND(TIPOORCAMENTO="Licitado",$AL35=0,$AN35&gt;0),"SEM PREÇO",
IF(AND($C35="S",$P35&lt;&gt;"",$Q35&lt;&gt;"",$U35&gt;0,AND($V35&lt;&gt;"BDI 1",$V35&lt;&gt;"BDI 2",$V35&lt;&gt;"BDI 3")),IF(ISNUMBER($V35),"JUSTIFICAR BDI","BDI"),
IF(OR(AND(import.recurso="OGU",TIPOORCAMENTO="Proposto",LEFT($O$8,5)&lt;&gt;"(N/D:",$AG35&lt;&gt;"",ORÇAMENTO.CustoUnitario&gt;$AG35),AND(TIPOORCAMENTO="LICITADO",ORÇAMENTO.PrecoUnitarioLicitado&gt;$AN35)),"ACIMA REF.",
IF(AND($C35="S",$P35&lt;&gt;"",$Q35&lt;&gt;"",$T35=0,$U35&gt;0),"QUANT.",
IF(AND(Import.TipoArredondamento="TransfereGOV",$L35="F",$C35="S",LEN($Q35)&gt;13),"Código &gt;13",
IF(AND(Import.TipoArredondamento="TransfereGOV",$L35="F",$C35&lt;&gt;"S",LEN($R35)&gt;100),"Descrição &gt;100",
IF(AND(Import.TipoArredondamento="TransfereGOV",$L35="F",$C35="S",LEN($R35)&gt;500),"Descrição &gt;500",
IF(AND(Import.TipoArredondamento="TransfereGOV",$L35="F",$C35="S",LEFT(TRIM(UPPER($P35)),6)&lt;&gt;"SINAPI",ISNA(VLOOKUP(TRIM(UPPER($S35)),ListaTgov.Unidades,1,FALSE()))),"Unid. Não Disp",
" "))))))))))))))))</f>
        <v>CÓDIGO N/ID</v>
      </c>
      <c r="AD35" s="0" t="str">
        <f aca="true">IF(C35&lt;=CRONO.NivelExibicao,MAX($AD$15:OFFSET(AD35,-1,0))+IF($C35&lt;&gt;1,1,MAX(1,COUNTIF(QCI!$A$13:$A$24,OFFSET($E35,-1,0)))),"")</f>
        <v/>
      </c>
      <c r="AE35" s="48" t="str">
        <f aca="false" t="array" ref="AE35:AE35">IF(AND($C35="S",ORÇAMENTO.CodBarra&lt;&gt;""),IF(ORÇAMENTO.Fonte="",ORÇAMENTO.CodBarra,CONCATENATE(ORÇAMENTO.Fonte," ",ORÇAMENTO.CodBarra)))</f>
        <v>Composição 05</v>
      </c>
      <c r="AF35" s="63" t="str">
        <f aca="true" t="array" ref="AF35:AF35">IF(ISERROR(ORÇAMENTO.BancoRef),"(abra o arquivo 'Referência "&amp;Excel_BuiltIn_Database&amp;".xlsm)",IF(OR($C35&lt;&gt;"S",ORÇAMENTO.CodBarra=""),"(Sem Código)",IF(ISERROR(MATCH($AE35,INDIRECT(ORÇAMENTO.BancoRef),0)),"(Código não identificado nas referências)",MATCH($AE35,INDIRECT(ORÇAMENTO.BancoRef),0))))</f>
        <v>(Código não identificado nas referências)</v>
      </c>
      <c r="AG35" s="220" t="n">
        <f aca="true" t="array" ref="AG35:AG35">ROUND(IF(DESONERACAO="sim",REFERENCIA.Desonerado,REFERENCIA.NaoDesonerado),2)</f>
        <v>0</v>
      </c>
      <c r="AH35" s="221" t="n">
        <f aca="false">ROUND(IF(ISNUMBER(ORÇAMENTO.OpcaoBDI),ORÇAMENTO.OpcaoBDI,IF(LEFT(ORÇAMENTO.OpcaoBDI,3)="BDI",HLOOKUP(ORÇAMENTO.OpcaoBDI,$F$4:$H$5,2,FALSE()),0)),15-11*$AF$9)</f>
        <v>0.25</v>
      </c>
      <c r="AJ35" s="222" t="n">
        <f aca="false">307.08+574</f>
        <v>881.08</v>
      </c>
      <c r="AL35" s="223"/>
      <c r="AM35" s="224" t="n">
        <f aca="false">$X35</f>
        <v>0</v>
      </c>
      <c r="AN35" s="225" t="n">
        <f aca="false" t="array" ref="AN35:AN35">ROUND(ORÇAMENTO.CustoUnitario*(1+$AH35),2)</f>
        <v>0</v>
      </c>
    </row>
    <row r="36" customFormat="false" ht="12.75" hidden="false" customHeight="false" outlineLevel="0" collapsed="false">
      <c r="A36" s="0" t="str">
        <f aca="false">CHOOSE(1+LOG(1+2*(ORÇAMENTO.Nivel="Meta")+4*(ORÇAMENTO.Nivel="Nível 2")+8*(ORÇAMENTO.Nivel="Nível 3")+16*(ORÇAMENTO.Nivel="Nível 4")+32*(ORÇAMENTO.Nivel="Serviço"),2),0,1,2,3,4,"S")</f>
        <v>S</v>
      </c>
      <c r="B36" s="0" t="n">
        <f aca="true">IF(OR(C36="s",C36=0),OFFSET(B36,-1,0),C36)</f>
        <v>2</v>
      </c>
      <c r="C36" s="0" t="str">
        <f aca="true">IF(OFFSET(C36,-1,0)="L",1,IF(OFFSET(C36,-1,0)=1,2,IF(OR(A36="s",A36=0),"S",IF(AND(OFFSET(C36,-1,0)=2,A36=4),3,IF(AND(OR(OFFSET(C36,-1,0)="s",OFFSET(C36,-1,0)=0),A36&lt;&gt;"s",A36&gt;OFFSET(B36,-1,0)),OFFSET(B36,-1,0),A36)))))</f>
        <v>S</v>
      </c>
      <c r="D36" s="0" t="n">
        <f aca="false">IF(OR(C36="S",C36=0),0,IF(ISERROR(K36),J36,SMALL(J36:K36,1)))</f>
        <v>0</v>
      </c>
      <c r="E36" s="0" t="n">
        <f aca="true">IF($C36=1,OFFSET(E36,-1,0)+MAX(1,COUNTIF(QCI!$A$13:$A$24,OFFSET(ORÇAMENTO!E36,-1,0))),OFFSET(E36,-1,0))</f>
        <v>1</v>
      </c>
      <c r="F36" s="0" t="n">
        <f aca="true">IF($C36=1,0,IF($C36=2,OFFSET(F36,-1,0)+1,OFFSET(F36,-1,0)))</f>
        <v>6</v>
      </c>
      <c r="G36" s="0" t="n">
        <f aca="true">IF(AND($C36&lt;=2,$C36&lt;&gt;0),0,IF($C36=3,OFFSET(G36,-1,0)+1,OFFSET(G36,-1,0)))</f>
        <v>0</v>
      </c>
      <c r="H36" s="0" t="n">
        <f aca="true">IF(AND($C36&lt;=3,$C36&lt;&gt;0),0,IF($C36=4,OFFSET(H36,-1,0)+1,OFFSET(H36,-1,0)))</f>
        <v>0</v>
      </c>
      <c r="I36" s="0" t="n">
        <f aca="true">IF(AND($C36&lt;=4,$C36&lt;&gt;0),0,IF(AND($C36="S",$X36&gt;0),OFFSET(I36,-1,0)+1,OFFSET(I36,-1,0)))</f>
        <v>0</v>
      </c>
      <c r="J36" s="0" t="n">
        <f aca="true">IF(OR($C36="S",$C36=0),0,MATCH(0,OFFSET($D36,1,$C36,ROW($C$59)-ROW($C36)),0))</f>
        <v>0</v>
      </c>
      <c r="K36" s="0" t="n">
        <f aca="true">IF(OR($C36="S",$C36=0),0,MATCH(OFFSET($D36,0,$C36)+IF($C36&lt;&gt;1,1,COUNTIF(QCI!$A$13:$A$24,ORÇAMENTO!E36)),OFFSET($D36,1,$C36,ROW($C$59)-ROW($C36)),0))</f>
        <v>0</v>
      </c>
      <c r="L36" s="204" t="str">
        <f aca="false">IF(OR($X36&gt;0,$C36=1,$C36=2,$C36=3,$C36=4),"F","")</f>
        <v/>
      </c>
      <c r="M36" s="205" t="s">
        <v>767</v>
      </c>
      <c r="N36" s="206" t="str">
        <f aca="false">CHOOSE(1+LOG(1+2*(C36=1)+4*(C36=2)+8*(C36=3)+16*(C36=4)+32*(C36="S"),2),"","Meta","Nível 2","Nível 3","Nível 4","Serviço")</f>
        <v>Serviço</v>
      </c>
      <c r="O36" s="207" t="str">
        <f aca="false">IF(OR($C36=0,$L36=""),"-",CONCATENATE(E36&amp;".",IF(AND($A$5&gt;=2,$C36&gt;=2),F36&amp;".",""),IF(AND($A$5&gt;=3,$C36&gt;=3),G36&amp;".",""),IF(AND($A$5&gt;=4,$C36&gt;=4),H36&amp;".",""),IF($C36="S",I36&amp;".","")))</f>
        <v>-</v>
      </c>
      <c r="P36" s="208" t="s">
        <v>771</v>
      </c>
      <c r="Q36" s="209" t="s">
        <v>845</v>
      </c>
      <c r="R36" s="240" t="str">
        <f aca="true" t="array" ref="R36:R36">IF($C36="S",REFERENCIA.Descricao,"(digite a descrição aqui)")</f>
        <v>(Código não identificado nas referências)</v>
      </c>
      <c r="S36" s="211" t="str">
        <f aca="true" t="array" ref="S36:S36">REFERENCIA.Unidade</f>
        <v>-</v>
      </c>
      <c r="T36" s="212" t="n">
        <f aca="true">OFFSET(CÁLCULO!H$15,ROW($T36)-ROW(T$15),0)</f>
        <v>973</v>
      </c>
      <c r="U36" s="213" t="n">
        <f aca="false">AG36</f>
        <v>0</v>
      </c>
      <c r="V36" s="214" t="s">
        <v>723</v>
      </c>
      <c r="W36" s="212" t="n">
        <f aca="false" t="array" ref="W36:W36">IF($C36="S",ROUND(IF(TIPOORCAMENTO="Proposto",ORÇAMENTO.CustoUnitario*(1+$AH36),ORÇAMENTO.PrecoUnitarioLicitado),15-13*$AF$10),0)</f>
        <v>0</v>
      </c>
      <c r="X36" s="215" t="n">
        <f aca="true" t="array" ref="X36:X36">IF($C36="S",IF(OR(Import.TipoArredondamento&lt;&gt;"TransfereGOV",ACOMPANHAMENTO="BM"),VTOTAL1,SUM(OFFSET(CÁLCULO!$AA$15,ROW($X36)-ROW($X$15),1):OFFSET(CÁLCULO!$AL$15,ROW($X36)-ROW($X$15),-1))),IF($C36=0,0,ROUND(SomaAgrup,15-13*$AF$11)))</f>
        <v>0</v>
      </c>
      <c r="Y36" s="216" t="s">
        <v>776</v>
      </c>
      <c r="Z36" s="0" t="str">
        <f aca="false">IF(AND($C36="S",$X36&gt;0),IF(ISBLANK($Y36),"RA",LEFT($Y36,2)),"")</f>
        <v/>
      </c>
      <c r="AA36" s="217" t="n">
        <f aca="true" t="array" ref="AA36:AA36">IF($C36="S",IF($Z36="CP",$X36,IF($Z36="RA",(($X36)*QCI!$AA$3),0)),SomaAgrup)</f>
        <v>0</v>
      </c>
      <c r="AB36" s="218" t="n">
        <f aca="true" t="array" ref="AB36:AB36">IF($C36="S",IF($Z36="OU",ROUND($X36,2),0),SomaAgrup)</f>
        <v>0</v>
      </c>
      <c r="AC36" s="219" t="str">
        <f aca="false" t="array" ref="AC36:AC36">IF($N36=""," ",
IF(AND($C36&lt;&gt;"S",OR($R36="",$R36="(digite a descrição aqui)")),"DESCRIÇÃO",
IF(AND($C36="S",OR($Q36&lt;&gt;"",$T36&gt;0,$U36&gt;0),$P36=""),"FONTE",
IF(AND($C36="S",$P36&lt;&gt;"",OR($T36&gt;0,$U36&gt;0),$Q36=""),"CÓDIGO",
IF(AND($C36="S",$P36&lt;&gt;"",$Q36&lt;&gt;"",$R36="(Código não identificado nas referências)"),"CÓDIGO N/ID",
IF(AND($C36="S",OR($R36="",$R36="(digite a descrição aqui)"),OR($Q36&lt;&gt;"",$T36&gt;0,$U36&gt;0)),"DESCRIÇÃO",
IF(AND($C36="S",$P36&lt;&gt;"",$Q36&lt;&gt;"",$S36=""),"UNIDADE",
IF(AND($C36="S",$P36&lt;&gt;"",$Q36&lt;&gt;"",$U36=0),"SEM CUSTO",
IF(AND(TIPOORCAMENTO="Licitado",$AL36=0,$AN36&gt;0),"SEM PREÇO",
IF(AND($C36="S",$P36&lt;&gt;"",$Q36&lt;&gt;"",$U36&gt;0,AND($V36&lt;&gt;"BDI 1",$V36&lt;&gt;"BDI 2",$V36&lt;&gt;"BDI 3")),IF(ISNUMBER($V36),"JUSTIFICAR BDI","BDI"),
IF(OR(AND(import.recurso="OGU",TIPOORCAMENTO="Proposto",LEFT($O$8,5)&lt;&gt;"(N/D:",$AG36&lt;&gt;"",ORÇAMENTO.CustoUnitario&gt;$AG36),AND(TIPOORCAMENTO="LICITADO",ORÇAMENTO.PrecoUnitarioLicitado&gt;$AN36)),"ACIMA REF.",
IF(AND($C36="S",$P36&lt;&gt;"",$Q36&lt;&gt;"",$T36=0,$U36&gt;0),"QUANT.",
IF(AND(Import.TipoArredondamento="TransfereGOV",$L36="F",$C36="S",LEN($Q36)&gt;13),"Código &gt;13",
IF(AND(Import.TipoArredondamento="TransfereGOV",$L36="F",$C36&lt;&gt;"S",LEN($R36)&gt;100),"Descrição &gt;100",
IF(AND(Import.TipoArredondamento="TransfereGOV",$L36="F",$C36="S",LEN($R36)&gt;500),"Descrição &gt;500",
IF(AND(Import.TipoArredondamento="TransfereGOV",$L36="F",$C36="S",LEFT(TRIM(UPPER($P36)),6)&lt;&gt;"SINAPI",ISNA(VLOOKUP(TRIM(UPPER($S36)),ListaTgov.Unidades,1,FALSE()))),"Unid. Não Disp",
" "))))))))))))))))</f>
        <v>CÓDIGO N/ID</v>
      </c>
      <c r="AD36" s="0" t="str">
        <f aca="true">IF(C36&lt;=CRONO.NivelExibicao,MAX($AD$15:OFFSET(AD36,-1,0))+IF($C36&lt;&gt;1,1,MAX(1,COUNTIF(QCI!$A$13:$A$24,OFFSET($E36,-1,0)))),"")</f>
        <v/>
      </c>
      <c r="AE36" s="48" t="str">
        <f aca="false" t="array" ref="AE36:AE36">IF(AND($C36="S",ORÇAMENTO.CodBarra&lt;&gt;""),IF(ORÇAMENTO.Fonte="",ORÇAMENTO.CodBarra,CONCATENATE(ORÇAMENTO.Fonte," ",ORÇAMENTO.CodBarra)))</f>
        <v>Composição 07</v>
      </c>
      <c r="AF36" s="63" t="str">
        <f aca="true" t="array" ref="AF36:AF36">IF(ISERROR(ORÇAMENTO.BancoRef),"(abra o arquivo 'Referência "&amp;Excel_BuiltIn_Database&amp;".xlsm)",IF(OR($C36&lt;&gt;"S",ORÇAMENTO.CodBarra=""),"(Sem Código)",IF(ISERROR(MATCH($AE36,INDIRECT(ORÇAMENTO.BancoRef),0)),"(Código não identificado nas referências)",MATCH($AE36,INDIRECT(ORÇAMENTO.BancoRef),0))))</f>
        <v>(Código não identificado nas referências)</v>
      </c>
      <c r="AG36" s="220" t="n">
        <f aca="true" t="array" ref="AG36:AG36">ROUND(IF(DESONERACAO="sim",REFERENCIA.Desonerado,REFERENCIA.NaoDesonerado),2)</f>
        <v>0</v>
      </c>
      <c r="AH36" s="221" t="n">
        <f aca="false">ROUND(IF(ISNUMBER(ORÇAMENTO.OpcaoBDI),ORÇAMENTO.OpcaoBDI,IF(LEFT(ORÇAMENTO.OpcaoBDI,3)="BDI",HLOOKUP(ORÇAMENTO.OpcaoBDI,$F$4:$H$5,2,FALSE()),0)),15-11*$AF$9)</f>
        <v>0.25</v>
      </c>
      <c r="AJ36" s="222" t="n">
        <v>973</v>
      </c>
      <c r="AL36" s="223"/>
      <c r="AM36" s="224" t="n">
        <f aca="false">$X36</f>
        <v>0</v>
      </c>
      <c r="AN36" s="225" t="n">
        <f aca="false" t="array" ref="AN36:AN36">ROUND(ORÇAMENTO.CustoUnitario*(1+$AH36),2)</f>
        <v>0</v>
      </c>
    </row>
    <row r="37" customFormat="false" ht="12.75" hidden="false" customHeight="false" outlineLevel="0" collapsed="false">
      <c r="A37" s="0" t="str">
        <f aca="false">CHOOSE(1+LOG(1+2*(ORÇAMENTO.Nivel="Meta")+4*(ORÇAMENTO.Nivel="Nível 2")+8*(ORÇAMENTO.Nivel="Nível 3")+16*(ORÇAMENTO.Nivel="Nível 4")+32*(ORÇAMENTO.Nivel="Serviço"),2),0,1,2,3,4,"S")</f>
        <v>S</v>
      </c>
      <c r="B37" s="0" t="n">
        <f aca="true">IF(OR(C37="s",C37=0),OFFSET(B37,-1,0),C37)</f>
        <v>2</v>
      </c>
      <c r="C37" s="0" t="str">
        <f aca="true">IF(OFFSET(C37,-1,0)="L",1,IF(OFFSET(C37,-1,0)=1,2,IF(OR(A37="s",A37=0),"S",IF(AND(OFFSET(C37,-1,0)=2,A37=4),3,IF(AND(OR(OFFSET(C37,-1,0)="s",OFFSET(C37,-1,0)=0),A37&lt;&gt;"s",A37&gt;OFFSET(B37,-1,0)),OFFSET(B37,-1,0),A37)))))</f>
        <v>S</v>
      </c>
      <c r="D37" s="0" t="n">
        <f aca="false">IF(OR(C37="S",C37=0),0,IF(ISERROR(K37),J37,SMALL(J37:K37,1)))</f>
        <v>0</v>
      </c>
      <c r="E37" s="0" t="n">
        <f aca="true">IF($C37=1,OFFSET(E37,-1,0)+MAX(1,COUNTIF(QCI!$A$13:$A$24,OFFSET(ORÇAMENTO!E37,-1,0))),OFFSET(E37,-1,0))</f>
        <v>1</v>
      </c>
      <c r="F37" s="0" t="n">
        <f aca="true">IF($C37=1,0,IF($C37=2,OFFSET(F37,-1,0)+1,OFFSET(F37,-1,0)))</f>
        <v>6</v>
      </c>
      <c r="G37" s="0" t="n">
        <f aca="true">IF(AND($C37&lt;=2,$C37&lt;&gt;0),0,IF($C37=3,OFFSET(G37,-1,0)+1,OFFSET(G37,-1,0)))</f>
        <v>0</v>
      </c>
      <c r="H37" s="0" t="n">
        <f aca="true">IF(AND($C37&lt;=3,$C37&lt;&gt;0),0,IF($C37=4,OFFSET(H37,-1,0)+1,OFFSET(H37,-1,0)))</f>
        <v>0</v>
      </c>
      <c r="I37" s="0" t="n">
        <f aca="true">IF(AND($C37&lt;=4,$C37&lt;&gt;0),0,IF(AND($C37="S",$X37&gt;0),OFFSET(I37,-1,0)+1,OFFSET(I37,-1,0)))</f>
        <v>0</v>
      </c>
      <c r="J37" s="0" t="n">
        <f aca="true">IF(OR($C37="S",$C37=0),0,MATCH(0,OFFSET($D37,1,$C37,ROW($C$59)-ROW($C37)),0))</f>
        <v>0</v>
      </c>
      <c r="K37" s="0" t="n">
        <f aca="true">IF(OR($C37="S",$C37=0),0,MATCH(OFFSET($D37,0,$C37)+IF($C37&lt;&gt;1,1,COUNTIF(QCI!$A$13:$A$24,ORÇAMENTO!E37)),OFFSET($D37,1,$C37,ROW($C$59)-ROW($C37)),0))</f>
        <v>0</v>
      </c>
      <c r="L37" s="204" t="str">
        <f aca="false">IF(OR($X37&gt;0,$C37=1,$C37=2,$C37=3,$C37=4),"F","")</f>
        <v/>
      </c>
      <c r="M37" s="205" t="s">
        <v>767</v>
      </c>
      <c r="N37" s="206" t="str">
        <f aca="false">CHOOSE(1+LOG(1+2*(C37=1)+4*(C37=2)+8*(C37=3)+16*(C37=4)+32*(C37="S"),2),"","Meta","Nível 2","Nível 3","Nível 4","Serviço")</f>
        <v>Serviço</v>
      </c>
      <c r="O37" s="207" t="str">
        <f aca="false">IF(OR($C37=0,$L37=""),"-",CONCATENATE(E37&amp;".",IF(AND($A$5&gt;=2,$C37&gt;=2),F37&amp;".",""),IF(AND($A$5&gt;=3,$C37&gt;=3),G37&amp;".",""),IF(AND($A$5&gt;=4,$C37&gt;=4),H37&amp;".",""),IF($C37="S",I37&amp;".","")))</f>
        <v>-</v>
      </c>
      <c r="P37" s="208" t="s">
        <v>768</v>
      </c>
      <c r="Q37" s="209" t="s">
        <v>846</v>
      </c>
      <c r="R37" s="210" t="str">
        <f aca="true" t="array" ref="R37:R37">IF($C37="S",REFERENCIA.Descricao,"(digite a descrição aqui)")</f>
        <v>(Código não identificado nas referências)</v>
      </c>
      <c r="S37" s="211" t="str">
        <f aca="true" t="array" ref="S37:S37">REFERENCIA.Unidade</f>
        <v>-</v>
      </c>
      <c r="T37" s="212" t="n">
        <f aca="true">OFFSET(CÁLCULO!H$15,ROW($T37)-ROW(T$15),0)</f>
        <v>973</v>
      </c>
      <c r="U37" s="213" t="n">
        <f aca="false">AG37</f>
        <v>0</v>
      </c>
      <c r="V37" s="214" t="s">
        <v>723</v>
      </c>
      <c r="W37" s="212" t="n">
        <f aca="false" t="array" ref="W37:W37">IF($C37="S",ROUND(IF(TIPOORCAMENTO="Proposto",ORÇAMENTO.CustoUnitario*(1+$AH37),ORÇAMENTO.PrecoUnitarioLicitado),15-13*$AF$10),0)</f>
        <v>0</v>
      </c>
      <c r="X37" s="215" t="n">
        <f aca="true" t="array" ref="X37:X37">IF($C37="S",IF(OR(Import.TipoArredondamento&lt;&gt;"TransfereGOV",ACOMPANHAMENTO="BM"),VTOTAL1,SUM(OFFSET(CÁLCULO!$AA$15,ROW($X37)-ROW($X$15),1):OFFSET(CÁLCULO!$AL$15,ROW($X37)-ROW($X$15),-1))),IF($C37=0,0,ROUND(SomaAgrup,15-13*$AF$11)))</f>
        <v>0</v>
      </c>
      <c r="Y37" s="216" t="s">
        <v>776</v>
      </c>
      <c r="Z37" s="0" t="str">
        <f aca="false">IF(AND($C37="S",$X37&gt;0),IF(ISBLANK($Y37),"RA",LEFT($Y37,2)),"")</f>
        <v/>
      </c>
      <c r="AA37" s="217" t="n">
        <f aca="true" t="array" ref="AA37:AA37">IF($C37="S",IF($Z37="CP",$X37,IF($Z37="RA",(($X37)*QCI!$AA$3),0)),SomaAgrup)</f>
        <v>0</v>
      </c>
      <c r="AB37" s="218" t="n">
        <f aca="true" t="array" ref="AB37:AB37">IF($C37="S",IF($Z37="OU",ROUND($X37,2),0),SomaAgrup)</f>
        <v>0</v>
      </c>
      <c r="AC37" s="219" t="str">
        <f aca="false" t="array" ref="AC37:AC37">IF($N37=""," ",
IF(AND($C37&lt;&gt;"S",OR($R37="",$R37="(digite a descrição aqui)")),"DESCRIÇÃO",
IF(AND($C37="S",OR($Q37&lt;&gt;"",$T37&gt;0,$U37&gt;0),$P37=""),"FONTE",
IF(AND($C37="S",$P37&lt;&gt;"",OR($T37&gt;0,$U37&gt;0),$Q37=""),"CÓDIGO",
IF(AND($C37="S",$P37&lt;&gt;"",$Q37&lt;&gt;"",$R37="(Código não identificado nas referências)"),"CÓDIGO N/ID",
IF(AND($C37="S",OR($R37="",$R37="(digite a descrição aqui)"),OR($Q37&lt;&gt;"",$T37&gt;0,$U37&gt;0)),"DESCRIÇÃO",
IF(AND($C37="S",$P37&lt;&gt;"",$Q37&lt;&gt;"",$S37=""),"UNIDADE",
IF(AND($C37="S",$P37&lt;&gt;"",$Q37&lt;&gt;"",$U37=0),"SEM CUSTO",
IF(AND(TIPOORCAMENTO="Licitado",$AL37=0,$AN37&gt;0),"SEM PREÇO",
IF(AND($C37="S",$P37&lt;&gt;"",$Q37&lt;&gt;"",$U37&gt;0,AND($V37&lt;&gt;"BDI 1",$V37&lt;&gt;"BDI 2",$V37&lt;&gt;"BDI 3")),IF(ISNUMBER($V37),"JUSTIFICAR BDI","BDI"),
IF(OR(AND(import.recurso="OGU",TIPOORCAMENTO="Proposto",LEFT($O$8,5)&lt;&gt;"(N/D:",$AG37&lt;&gt;"",ORÇAMENTO.CustoUnitario&gt;$AG37),AND(TIPOORCAMENTO="LICITADO",ORÇAMENTO.PrecoUnitarioLicitado&gt;$AN37)),"ACIMA REF.",
IF(AND($C37="S",$P37&lt;&gt;"",$Q37&lt;&gt;"",$T37=0,$U37&gt;0),"QUANT.",
IF(AND(Import.TipoArredondamento="TransfereGOV",$L37="F",$C37="S",LEN($Q37)&gt;13),"Código &gt;13",
IF(AND(Import.TipoArredondamento="TransfereGOV",$L37="F",$C37&lt;&gt;"S",LEN($R37)&gt;100),"Descrição &gt;100",
IF(AND(Import.TipoArredondamento="TransfereGOV",$L37="F",$C37="S",LEN($R37)&gt;500),"Descrição &gt;500",
IF(AND(Import.TipoArredondamento="TransfereGOV",$L37="F",$C37="S",LEFT(TRIM(UPPER($P37)),6)&lt;&gt;"SINAPI",ISNA(VLOOKUP(TRIM(UPPER($S37)),ListaTgov.Unidades,1,FALSE()))),"Unid. Não Disp",
" "))))))))))))))))</f>
        <v>CÓDIGO N/ID</v>
      </c>
      <c r="AD37" s="0" t="str">
        <f aca="true">IF(C37&lt;=CRONO.NivelExibicao,MAX($AD$15:OFFSET(AD37,-1,0))+IF($C37&lt;&gt;1,1,MAX(1,COUNTIF(QCI!$A$13:$A$24,OFFSET($E37,-1,0)))),"")</f>
        <v/>
      </c>
      <c r="AE37" s="48" t="str">
        <f aca="false" t="array" ref="AE37:AE37">IF(AND($C37="S",ORÇAMENTO.CodBarra&lt;&gt;""),IF(ORÇAMENTO.Fonte="",ORÇAMENTO.CodBarra,CONCATENATE(ORÇAMENTO.Fonte," ",ORÇAMENTO.CodBarra)))</f>
        <v>SINAPI 97097</v>
      </c>
      <c r="AF37" s="63" t="str">
        <f aca="true" t="array" ref="AF37:AF37">IF(ISERROR(ORÇAMENTO.BancoRef),"(abra o arquivo 'Referência "&amp;Excel_BuiltIn_Database&amp;".xlsm)",IF(OR($C37&lt;&gt;"S",ORÇAMENTO.CodBarra=""),"(Sem Código)",IF(ISERROR(MATCH($AE37,INDIRECT(ORÇAMENTO.BancoRef),0)),"(Código não identificado nas referências)",MATCH($AE37,INDIRECT(ORÇAMENTO.BancoRef),0))))</f>
        <v>(Código não identificado nas referências)</v>
      </c>
      <c r="AG37" s="220" t="n">
        <f aca="true" t="array" ref="AG37:AG37">ROUND(IF(DESONERACAO="sim",REFERENCIA.Desonerado,REFERENCIA.NaoDesonerado),2)</f>
        <v>0</v>
      </c>
      <c r="AH37" s="221" t="n">
        <f aca="false">ROUND(IF(ISNUMBER(ORÇAMENTO.OpcaoBDI),ORÇAMENTO.OpcaoBDI,IF(LEFT(ORÇAMENTO.OpcaoBDI,3)="BDI",HLOOKUP(ORÇAMENTO.OpcaoBDI,$F$4:$H$5,2,FALSE()),0)),15-11*$AF$9)</f>
        <v>0.25</v>
      </c>
      <c r="AJ37" s="222" t="n">
        <v>973</v>
      </c>
      <c r="AL37" s="223"/>
      <c r="AM37" s="224" t="n">
        <f aca="false">$X37</f>
        <v>0</v>
      </c>
      <c r="AN37" s="225" t="n">
        <f aca="false" t="array" ref="AN37:AN37">ROUND(ORÇAMENTO.CustoUnitario*(1+$AH37),2)</f>
        <v>0</v>
      </c>
    </row>
    <row r="38" customFormat="false" ht="12.75" hidden="false" customHeight="false" outlineLevel="0" collapsed="false">
      <c r="A38" s="0" t="n">
        <f aca="false">CHOOSE(1+LOG(1+2*(ORÇAMENTO.Nivel="Meta")+4*(ORÇAMENTO.Nivel="Nível 2")+8*(ORÇAMENTO.Nivel="Nível 3")+16*(ORÇAMENTO.Nivel="Nível 4")+32*(ORÇAMENTO.Nivel="Serviço"),2),0,1,2,3,4,"S")</f>
        <v>2</v>
      </c>
      <c r="B38" s="0" t="n">
        <f aca="true">IF(OR(C38="s",C38=0),OFFSET(B38,-1,0),C38)</f>
        <v>2</v>
      </c>
      <c r="C38" s="0" t="n">
        <f aca="true">IF(OFFSET(C38,-1,0)="L",1,IF(OFFSET(C38,-1,0)=1,2,IF(OR(A38="s",A38=0),"S",IF(AND(OFFSET(C38,-1,0)=2,A38=4),3,IF(AND(OR(OFFSET(C38,-1,0)="s",OFFSET(C38,-1,0)=0),A38&lt;&gt;"s",A38&gt;OFFSET(B38,-1,0)),OFFSET(B38,-1,0),A38)))))</f>
        <v>2</v>
      </c>
      <c r="D38" s="0" t="n">
        <f aca="false">IF(OR(C38="S",C38=0),0,IF(ISERROR(K38),J38,SMALL(J38:K38,1)))</f>
        <v>4</v>
      </c>
      <c r="E38" s="0" t="n">
        <f aca="true">IF($C38=1,OFFSET(E38,-1,0)+MAX(1,COUNTIF(QCI!$A$13:$A$24,OFFSET(ORÇAMENTO!E38,-1,0))),OFFSET(E38,-1,0))</f>
        <v>1</v>
      </c>
      <c r="F38" s="0" t="n">
        <f aca="true">IF($C38=1,0,IF($C38=2,OFFSET(F38,-1,0)+1,OFFSET(F38,-1,0)))</f>
        <v>7</v>
      </c>
      <c r="G38" s="0" t="n">
        <f aca="true">IF(AND($C38&lt;=2,$C38&lt;&gt;0),0,IF($C38=3,OFFSET(G38,-1,0)+1,OFFSET(G38,-1,0)))</f>
        <v>0</v>
      </c>
      <c r="H38" s="0" t="n">
        <f aca="true">IF(AND($C38&lt;=3,$C38&lt;&gt;0),0,IF($C38=4,OFFSET(H38,-1,0)+1,OFFSET(H38,-1,0)))</f>
        <v>0</v>
      </c>
      <c r="I38" s="0" t="n">
        <f aca="true">IF(AND($C38&lt;=4,$C38&lt;&gt;0),0,IF(AND($C38="S",$X38&gt;0),OFFSET(I38,-1,0)+1,OFFSET(I38,-1,0)))</f>
        <v>0</v>
      </c>
      <c r="J38" s="0" t="n">
        <f aca="true">IF(OR($C38="S",$C38=0),0,MATCH(0,OFFSET($D38,1,$C38,ROW($C$59)-ROW($C38)),0))</f>
        <v>21</v>
      </c>
      <c r="K38" s="0" t="n">
        <f aca="true">IF(OR($C38="S",$C38=0),0,MATCH(OFFSET($D38,0,$C38)+IF($C38&lt;&gt;1,1,COUNTIF(QCI!$A$13:$A$24,ORÇAMENTO!E38)),OFFSET($D38,1,$C38,ROW($C$59)-ROW($C38)),0))</f>
        <v>4</v>
      </c>
      <c r="L38" s="204" t="str">
        <f aca="false">IF(OR($X38&gt;0,$C38=1,$C38=2,$C38=3,$C38=4),"F","")</f>
        <v>F</v>
      </c>
      <c r="M38" s="205" t="s">
        <v>764</v>
      </c>
      <c r="N38" s="206" t="str">
        <f aca="false">CHOOSE(1+LOG(1+2*(C38=1)+4*(C38=2)+8*(C38=3)+16*(C38=4)+32*(C38="S"),2),"","Meta","Nível 2","Nível 3","Nível 4","Serviço")</f>
        <v>Nível 2</v>
      </c>
      <c r="O38" s="207" t="str">
        <f aca="false">IF(OR($C38=0,$L38=""),"-",CONCATENATE(E38&amp;".",IF(AND($A$5&gt;=2,$C38&gt;=2),F38&amp;".",""),IF(AND($A$5&gt;=3,$C38&gt;=3),G38&amp;".",""),IF(AND($A$5&gt;=4,$C38&gt;=4),H38&amp;".",""),IF($C38="S",I38&amp;".","")))</f>
        <v>1.7.</v>
      </c>
      <c r="P38" s="208" t="s">
        <v>768</v>
      </c>
      <c r="Q38" s="209"/>
      <c r="R38" s="240" t="s">
        <v>847</v>
      </c>
      <c r="S38" s="211" t="str">
        <f aca="true" t="array" ref="S38:S38">REFERENCIA.Unidade</f>
        <v>-</v>
      </c>
      <c r="T38" s="212" t="n">
        <f aca="true">OFFSET(CÁLCULO!H$15,ROW($T38)-ROW(T$15),0)</f>
        <v>0</v>
      </c>
      <c r="U38" s="213" t="n">
        <f aca="false">AG38</f>
        <v>0</v>
      </c>
      <c r="V38" s="214" t="s">
        <v>723</v>
      </c>
      <c r="W38" s="212" t="n">
        <f aca="false" t="array" ref="W38:W38">IF($C38="S",ROUND(IF(TIPOORCAMENTO="Proposto",ORÇAMENTO.CustoUnitario*(1+$AH38),ORÇAMENTO.PrecoUnitarioLicitado),15-13*$AF$10),0)</f>
        <v>0</v>
      </c>
      <c r="X38" s="215" t="n">
        <f aca="true" t="array" ref="X38:X38">IF($C38="S",IF(OR(Import.TipoArredondamento&lt;&gt;"TransfereGOV",ACOMPANHAMENTO="BM"),VTOTAL1,SUM(OFFSET(CÁLCULO!$AA$15,ROW($X38)-ROW($X$15),1):OFFSET(CÁLCULO!$AL$15,ROW($X38)-ROW($X$15),-1))),IF($C38=0,0,ROUND(SomaAgrup,15-13*$AF$11)))</f>
        <v>0</v>
      </c>
      <c r="Y38" s="216" t="s">
        <v>776</v>
      </c>
      <c r="Z38" s="0" t="str">
        <f aca="false">IF(AND($C38="S",$X38&gt;0),IF(ISBLANK($Y38),"RA",LEFT($Y38,2)),"")</f>
        <v/>
      </c>
      <c r="AA38" s="217" t="n">
        <f aca="true" t="array" ref="AA38:AA38">IF($C38="S",IF($Z38="CP",$X38,IF($Z38="RA",(($X38)*QCI!$AA$3),0)),SomaAgrup)</f>
        <v>0</v>
      </c>
      <c r="AB38" s="218" t="n">
        <f aca="true" t="array" ref="AB38:AB38">IF($C38="S",IF($Z38="OU",ROUND($X38,2),0),SomaAgrup)</f>
        <v>0</v>
      </c>
      <c r="AC38" s="219" t="str">
        <f aca="false" t="array" ref="AC38:AC38">IF($N38=""," ",
IF(AND($C38&lt;&gt;"S",OR($R38="",$R38="(digite a descrição aqui)")),"DESCRIÇÃO",
IF(AND($C38="S",OR($Q38&lt;&gt;"",$T38&gt;0,$U38&gt;0),$P38=""),"FONTE",
IF(AND($C38="S",$P38&lt;&gt;"",OR($T38&gt;0,$U38&gt;0),$Q38=""),"CÓDIGO",
IF(AND($C38="S",$P38&lt;&gt;"",$Q38&lt;&gt;"",$R38="(Código não identificado nas referências)"),"CÓDIGO N/ID",
IF(AND($C38="S",OR($R38="",$R38="(digite a descrição aqui)"),OR($Q38&lt;&gt;"",$T38&gt;0,$U38&gt;0)),"DESCRIÇÃO",
IF(AND($C38="S",$P38&lt;&gt;"",$Q38&lt;&gt;"",$S38=""),"UNIDADE",
IF(AND($C38="S",$P38&lt;&gt;"",$Q38&lt;&gt;"",$U38=0),"SEM CUSTO",
IF(AND(TIPOORCAMENTO="Licitado",$AL38=0,$AN38&gt;0),"SEM PREÇO",
IF(AND($C38="S",$P38&lt;&gt;"",$Q38&lt;&gt;"",$U38&gt;0,AND($V38&lt;&gt;"BDI 1",$V38&lt;&gt;"BDI 2",$V38&lt;&gt;"BDI 3")),IF(ISNUMBER($V38),"JUSTIFICAR BDI","BDI"),
IF(OR(AND(import.recurso="OGU",TIPOORCAMENTO="Proposto",LEFT($O$8,5)&lt;&gt;"(N/D:",$AG38&lt;&gt;"",ORÇAMENTO.CustoUnitario&gt;$AG38),AND(TIPOORCAMENTO="LICITADO",ORÇAMENTO.PrecoUnitarioLicitado&gt;$AN38)),"ACIMA REF.",
IF(AND($C38="S",$P38&lt;&gt;"",$Q38&lt;&gt;"",$T38=0,$U38&gt;0),"QUANT.",
IF(AND(Import.TipoArredondamento="TransfereGOV",$L38="F",$C38="S",LEN($Q38)&gt;13),"Código &gt;13",
IF(AND(Import.TipoArredondamento="TransfereGOV",$L38="F",$C38&lt;&gt;"S",LEN($R38)&gt;100),"Descrição &gt;100",
IF(AND(Import.TipoArredondamento="TransfereGOV",$L38="F",$C38="S",LEN($R38)&gt;500),"Descrição &gt;500",
IF(AND(Import.TipoArredondamento="TransfereGOV",$L38="F",$C38="S",LEFT(TRIM(UPPER($P38)),6)&lt;&gt;"SINAPI",ISNA(VLOOKUP(TRIM(UPPER($S38)),ListaTgov.Unidades,1,FALSE()))),"Unid. Não Disp",
" "))))))))))))))))</f>
        <v> </v>
      </c>
      <c r="AD38" s="0" t="n">
        <f aca="true">IF(C38&lt;=CRONO.NivelExibicao,MAX($AD$15:OFFSET(AD38,-1,0))+IF($C38&lt;&gt;1,1,MAX(1,COUNTIF(QCI!$A$13:$A$24,OFFSET($E38,-1,0)))),"")</f>
        <v>8</v>
      </c>
      <c r="AE38" s="48" t="n">
        <f aca="false" t="array" ref="AE38:AE38">IF(AND($C38="S",ORÇAMENTO.CodBarra&lt;&gt;""),IF(ORÇAMENTO.Fonte="",ORÇAMENTO.CodBarra,CONCATENATE(ORÇAMENTO.Fonte," ",ORÇAMENTO.CodBarra)))</f>
        <v>0</v>
      </c>
      <c r="AF38" s="63" t="str">
        <f aca="true" t="array" ref="AF38:AF38">IF(ISERROR(ORÇAMENTO.BancoRef),"(abra o arquivo 'Referência "&amp;Excel_BuiltIn_Database&amp;".xlsm)",IF(OR($C38&lt;&gt;"S",ORÇAMENTO.CodBarra=""),"(Sem Código)",IF(ISERROR(MATCH($AE38,INDIRECT(ORÇAMENTO.BancoRef),0)),"(Código não identificado nas referências)",MATCH($AE38,INDIRECT(ORÇAMENTO.BancoRef),0))))</f>
        <v>(Sem Código)</v>
      </c>
      <c r="AG38" s="220" t="n">
        <f aca="true" t="array" ref="AG38:AG38">ROUND(IF(DESONERACAO="sim",REFERENCIA.Desonerado,REFERENCIA.NaoDesonerado),2)</f>
        <v>0</v>
      </c>
      <c r="AH38" s="221" t="n">
        <f aca="false">ROUND(IF(ISNUMBER(ORÇAMENTO.OpcaoBDI),ORÇAMENTO.OpcaoBDI,IF(LEFT(ORÇAMENTO.OpcaoBDI,3)="BDI",HLOOKUP(ORÇAMENTO.OpcaoBDI,$F$4:$H$5,2,FALSE()),0)),15-11*$AF$9)</f>
        <v>0.25</v>
      </c>
      <c r="AJ38" s="222"/>
      <c r="AL38" s="223"/>
      <c r="AM38" s="224" t="n">
        <f aca="false">$X38</f>
        <v>0</v>
      </c>
      <c r="AN38" s="225" t="n">
        <f aca="false" t="array" ref="AN38:AN38">ROUND(ORÇAMENTO.CustoUnitario*(1+$AH38),2)</f>
        <v>0</v>
      </c>
    </row>
    <row r="39" customFormat="false" ht="12.75" hidden="false" customHeight="false" outlineLevel="0" collapsed="false">
      <c r="A39" s="0" t="str">
        <f aca="false">CHOOSE(1+LOG(1+2*(ORÇAMENTO.Nivel="Meta")+4*(ORÇAMENTO.Nivel="Nível 2")+8*(ORÇAMENTO.Nivel="Nível 3")+16*(ORÇAMENTO.Nivel="Nível 4")+32*(ORÇAMENTO.Nivel="Serviço"),2),0,1,2,3,4,"S")</f>
        <v>S</v>
      </c>
      <c r="B39" s="0" t="n">
        <f aca="true">IF(OR(C39="s",C39=0),OFFSET(B39,-1,0),C39)</f>
        <v>2</v>
      </c>
      <c r="C39" s="0" t="str">
        <f aca="true">IF(OFFSET(C39,-1,0)="L",1,IF(OFFSET(C39,-1,0)=1,2,IF(OR(A39="s",A39=0),"S",IF(AND(OFFSET(C39,-1,0)=2,A39=4),3,IF(AND(OR(OFFSET(C39,-1,0)="s",OFFSET(C39,-1,0)=0),A39&lt;&gt;"s",A39&gt;OFFSET(B39,-1,0)),OFFSET(B39,-1,0),A39)))))</f>
        <v>S</v>
      </c>
      <c r="D39" s="0" t="n">
        <f aca="false">IF(OR(C39="S",C39=0),0,IF(ISERROR(K39),J39,SMALL(J39:K39,1)))</f>
        <v>0</v>
      </c>
      <c r="E39" s="0" t="n">
        <f aca="true">IF($C39=1,OFFSET(E39,-1,0)+MAX(1,COUNTIF(QCI!$A$13:$A$24,OFFSET(ORÇAMENTO!E39,-1,0))),OFFSET(E39,-1,0))</f>
        <v>1</v>
      </c>
      <c r="F39" s="0" t="n">
        <f aca="true">IF($C39=1,0,IF($C39=2,OFFSET(F39,-1,0)+1,OFFSET(F39,-1,0)))</f>
        <v>7</v>
      </c>
      <c r="G39" s="0" t="n">
        <f aca="true">IF(AND($C39&lt;=2,$C39&lt;&gt;0),0,IF($C39=3,OFFSET(G39,-1,0)+1,OFFSET(G39,-1,0)))</f>
        <v>0</v>
      </c>
      <c r="H39" s="0" t="n">
        <f aca="true">IF(AND($C39&lt;=3,$C39&lt;&gt;0),0,IF($C39=4,OFFSET(H39,-1,0)+1,OFFSET(H39,-1,0)))</f>
        <v>0</v>
      </c>
      <c r="I39" s="0" t="n">
        <f aca="true">IF(AND($C39&lt;=4,$C39&lt;&gt;0),0,IF(AND($C39="S",$X39&gt;0),OFFSET(I39,-1,0)+1,OFFSET(I39,-1,0)))</f>
        <v>0</v>
      </c>
      <c r="J39" s="0" t="n">
        <f aca="true">IF(OR($C39="S",$C39=0),0,MATCH(0,OFFSET($D39,1,$C39,ROW($C$59)-ROW($C39)),0))</f>
        <v>0</v>
      </c>
      <c r="K39" s="0" t="n">
        <f aca="true">IF(OR($C39="S",$C39=0),0,MATCH(OFFSET($D39,0,$C39)+IF($C39&lt;&gt;1,1,COUNTIF(QCI!$A$13:$A$24,ORÇAMENTO!E39)),OFFSET($D39,1,$C39,ROW($C$59)-ROW($C39)),0))</f>
        <v>0</v>
      </c>
      <c r="L39" s="204" t="str">
        <f aca="false">IF(OR($X39&gt;0,$C39=1,$C39=2,$C39=3,$C39=4),"F","")</f>
        <v/>
      </c>
      <c r="M39" s="205" t="s">
        <v>767</v>
      </c>
      <c r="N39" s="206" t="str">
        <f aca="false">CHOOSE(1+LOG(1+2*(C39=1)+4*(C39=2)+8*(C39=3)+16*(C39=4)+32*(C39="S"),2),"","Meta","Nível 2","Nível 3","Nível 4","Serviço")</f>
        <v>Serviço</v>
      </c>
      <c r="O39" s="207" t="str">
        <f aca="false">IF(OR($C39=0,$L39=""),"-",CONCATENATE(E39&amp;".",IF(AND($A$5&gt;=2,$C39&gt;=2),F39&amp;".",""),IF(AND($A$5&gt;=3,$C39&gt;=3),G39&amp;".",""),IF(AND($A$5&gt;=4,$C39&gt;=4),H39&amp;".",""),IF($C39="S",I39&amp;".","")))</f>
        <v>-</v>
      </c>
      <c r="P39" s="208" t="s">
        <v>768</v>
      </c>
      <c r="Q39" s="209" t="s">
        <v>848</v>
      </c>
      <c r="R39" s="240" t="str">
        <f aca="true" t="array" ref="R39:R39">IF($C39="S",REFERENCIA.Descricao,"(digite a descrição aqui)")</f>
        <v>(Código não identificado nas referências)</v>
      </c>
      <c r="S39" s="211" t="str">
        <f aca="true" t="array" ref="S39:S39">REFERENCIA.Unidade</f>
        <v>-</v>
      </c>
      <c r="T39" s="212" t="n">
        <f aca="true">OFFSET(CÁLCULO!H$15,ROW($T39)-ROW(T$15),0)</f>
        <v>1634.57</v>
      </c>
      <c r="U39" s="213" t="n">
        <f aca="false">AG39</f>
        <v>0</v>
      </c>
      <c r="V39" s="214" t="s">
        <v>723</v>
      </c>
      <c r="W39" s="212" t="n">
        <f aca="false" t="array" ref="W39:W39">IF($C39="S",ROUND(IF(TIPOORCAMENTO="Proposto",ORÇAMENTO.CustoUnitario*(1+$AH39),ORÇAMENTO.PrecoUnitarioLicitado),15-13*$AF$10),0)</f>
        <v>0</v>
      </c>
      <c r="X39" s="215" t="n">
        <f aca="true" t="array" ref="X39:X39">IF($C39="S",IF(OR(Import.TipoArredondamento&lt;&gt;"TransfereGOV",ACOMPANHAMENTO="BM"),VTOTAL1,SUM(OFFSET(CÁLCULO!$AA$15,ROW($X39)-ROW($X$15),1):OFFSET(CÁLCULO!$AL$15,ROW($X39)-ROW($X$15),-1))),IF($C39=0,0,ROUND(SomaAgrup,15-13*$AF$11)))</f>
        <v>0</v>
      </c>
      <c r="Y39" s="216" t="s">
        <v>776</v>
      </c>
      <c r="Z39" s="0" t="str">
        <f aca="false">IF(AND($C39="S",$X39&gt;0),IF(ISBLANK($Y39),"RA",LEFT($Y39,2)),"")</f>
        <v/>
      </c>
      <c r="AA39" s="217" t="n">
        <f aca="true" t="array" ref="AA39:AA39">IF($C39="S",IF($Z39="CP",$X39,IF($Z39="RA",(($X39)*QCI!$AA$3),0)),SomaAgrup)</f>
        <v>0</v>
      </c>
      <c r="AB39" s="218" t="n">
        <f aca="true" t="array" ref="AB39:AB39">IF($C39="S",IF($Z39="OU",ROUND($X39,2),0),SomaAgrup)</f>
        <v>0</v>
      </c>
      <c r="AC39" s="219" t="str">
        <f aca="false" t="array" ref="AC39:AC39">IF($N39=""," ",
IF(AND($C39&lt;&gt;"S",OR($R39="",$R39="(digite a descrição aqui)")),"DESCRIÇÃO",
IF(AND($C39="S",OR($Q39&lt;&gt;"",$T39&gt;0,$U39&gt;0),$P39=""),"FONTE",
IF(AND($C39="S",$P39&lt;&gt;"",OR($T39&gt;0,$U39&gt;0),$Q39=""),"CÓDIGO",
IF(AND($C39="S",$P39&lt;&gt;"",$Q39&lt;&gt;"",$R39="(Código não identificado nas referências)"),"CÓDIGO N/ID",
IF(AND($C39="S",OR($R39="",$R39="(digite a descrição aqui)"),OR($Q39&lt;&gt;"",$T39&gt;0,$U39&gt;0)),"DESCRIÇÃO",
IF(AND($C39="S",$P39&lt;&gt;"",$Q39&lt;&gt;"",$S39=""),"UNIDADE",
IF(AND($C39="S",$P39&lt;&gt;"",$Q39&lt;&gt;"",$U39=0),"SEM CUSTO",
IF(AND(TIPOORCAMENTO="Licitado",$AL39=0,$AN39&gt;0),"SEM PREÇO",
IF(AND($C39="S",$P39&lt;&gt;"",$Q39&lt;&gt;"",$U39&gt;0,AND($V39&lt;&gt;"BDI 1",$V39&lt;&gt;"BDI 2",$V39&lt;&gt;"BDI 3")),IF(ISNUMBER($V39),"JUSTIFICAR BDI","BDI"),
IF(OR(AND(import.recurso="OGU",TIPOORCAMENTO="Proposto",LEFT($O$8,5)&lt;&gt;"(N/D:",$AG39&lt;&gt;"",ORÇAMENTO.CustoUnitario&gt;$AG39),AND(TIPOORCAMENTO="LICITADO",ORÇAMENTO.PrecoUnitarioLicitado&gt;$AN39)),"ACIMA REF.",
IF(AND($C39="S",$P39&lt;&gt;"",$Q39&lt;&gt;"",$T39=0,$U39&gt;0),"QUANT.",
IF(AND(Import.TipoArredondamento="TransfereGOV",$L39="F",$C39="S",LEN($Q39)&gt;13),"Código &gt;13",
IF(AND(Import.TipoArredondamento="TransfereGOV",$L39="F",$C39&lt;&gt;"S",LEN($R39)&gt;100),"Descrição &gt;100",
IF(AND(Import.TipoArredondamento="TransfereGOV",$L39="F",$C39="S",LEN($R39)&gt;500),"Descrição &gt;500",
IF(AND(Import.TipoArredondamento="TransfereGOV",$L39="F",$C39="S",LEFT(TRIM(UPPER($P39)),6)&lt;&gt;"SINAPI",ISNA(VLOOKUP(TRIM(UPPER($S39)),ListaTgov.Unidades,1,FALSE()))),"Unid. Não Disp",
" "))))))))))))))))</f>
        <v>CÓDIGO N/ID</v>
      </c>
      <c r="AD39" s="0" t="str">
        <f aca="true">IF(C39&lt;=CRONO.NivelExibicao,MAX($AD$15:OFFSET(AD39,-1,0))+IF($C39&lt;&gt;1,1,MAX(1,COUNTIF(QCI!$A$13:$A$24,OFFSET($E39,-1,0)))),"")</f>
        <v/>
      </c>
      <c r="AE39" s="48" t="str">
        <f aca="false" t="array" ref="AE39:AE39">IF(AND($C39="S",ORÇAMENTO.CodBarra&lt;&gt;""),IF(ORÇAMENTO.Fonte="",ORÇAMENTO.CodBarra,CONCATENATE(ORÇAMENTO.Fonte," ",ORÇAMENTO.CodBarra)))</f>
        <v>SINAPI 101090</v>
      </c>
      <c r="AF39" s="63" t="str">
        <f aca="true" t="array" ref="AF39:AF39">IF(ISERROR(ORÇAMENTO.BancoRef),"(abra o arquivo 'Referência "&amp;Excel_BuiltIn_Database&amp;".xlsm)",IF(OR($C39&lt;&gt;"S",ORÇAMENTO.CodBarra=""),"(Sem Código)",IF(ISERROR(MATCH($AE39,INDIRECT(ORÇAMENTO.BancoRef),0)),"(Código não identificado nas referências)",MATCH($AE39,INDIRECT(ORÇAMENTO.BancoRef),0))))</f>
        <v>(Código não identificado nas referências)</v>
      </c>
      <c r="AG39" s="220" t="n">
        <f aca="true" t="array" ref="AG39:AG39">ROUND(IF(DESONERACAO="sim",REFERENCIA.Desonerado,REFERENCIA.NaoDesonerado),2)</f>
        <v>0</v>
      </c>
      <c r="AH39" s="221" t="n">
        <f aca="false">ROUND(IF(ISNUMBER(ORÇAMENTO.OpcaoBDI),ORÇAMENTO.OpcaoBDI,IF(LEFT(ORÇAMENTO.OpcaoBDI,3)="BDI",HLOOKUP(ORÇAMENTO.OpcaoBDI,$F$4:$H$5,2,FALSE()),0)),15-11*$AF$9)</f>
        <v>0.25</v>
      </c>
      <c r="AJ39" s="222" t="n">
        <v>1634.57</v>
      </c>
      <c r="AL39" s="223"/>
      <c r="AM39" s="224" t="n">
        <f aca="false">$X39</f>
        <v>0</v>
      </c>
      <c r="AN39" s="225" t="n">
        <f aca="false" t="array" ref="AN39:AN39">ROUND(ORÇAMENTO.CustoUnitario*(1+$AH39),2)</f>
        <v>0</v>
      </c>
    </row>
    <row r="40" customFormat="false" ht="12.75" hidden="false" customHeight="false" outlineLevel="0" collapsed="false">
      <c r="A40" s="0" t="str">
        <f aca="false">CHOOSE(1+LOG(1+2*(ORÇAMENTO.Nivel="Meta")+4*(ORÇAMENTO.Nivel="Nível 2")+8*(ORÇAMENTO.Nivel="Nível 3")+16*(ORÇAMENTO.Nivel="Nível 4")+32*(ORÇAMENTO.Nivel="Serviço"),2),0,1,2,3,4,"S")</f>
        <v>S</v>
      </c>
      <c r="B40" s="0" t="n">
        <f aca="true">IF(OR(C40="s",C40=0),OFFSET(B40,-1,0),C40)</f>
        <v>2</v>
      </c>
      <c r="C40" s="0" t="str">
        <f aca="true">IF(OFFSET(C40,-1,0)="L",1,IF(OFFSET(C40,-1,0)=1,2,IF(OR(A40="s",A40=0),"S",IF(AND(OFFSET(C40,-1,0)=2,A40=4),3,IF(AND(OR(OFFSET(C40,-1,0)="s",OFFSET(C40,-1,0)=0),A40&lt;&gt;"s",A40&gt;OFFSET(B40,-1,0)),OFFSET(B40,-1,0),A40)))))</f>
        <v>S</v>
      </c>
      <c r="D40" s="0" t="n">
        <f aca="false">IF(OR(C40="S",C40=0),0,IF(ISERROR(K40),J40,SMALL(J40:K40,1)))</f>
        <v>0</v>
      </c>
      <c r="E40" s="0" t="n">
        <f aca="true">IF($C40=1,OFFSET(E40,-1,0)+MAX(1,COUNTIF(QCI!$A$13:$A$24,OFFSET(ORÇAMENTO!E40,-1,0))),OFFSET(E40,-1,0))</f>
        <v>1</v>
      </c>
      <c r="F40" s="0" t="n">
        <f aca="true">IF($C40=1,0,IF($C40=2,OFFSET(F40,-1,0)+1,OFFSET(F40,-1,0)))</f>
        <v>7</v>
      </c>
      <c r="G40" s="0" t="n">
        <f aca="true">IF(AND($C40&lt;=2,$C40&lt;&gt;0),0,IF($C40=3,OFFSET(G40,-1,0)+1,OFFSET(G40,-1,0)))</f>
        <v>0</v>
      </c>
      <c r="H40" s="0" t="n">
        <f aca="true">IF(AND($C40&lt;=3,$C40&lt;&gt;0),0,IF($C40=4,OFFSET(H40,-1,0)+1,OFFSET(H40,-1,0)))</f>
        <v>0</v>
      </c>
      <c r="I40" s="0" t="n">
        <f aca="true">IF(AND($C40&lt;=4,$C40&lt;&gt;0),0,IF(AND($C40="S",$X40&gt;0),OFFSET(I40,-1,0)+1,OFFSET(I40,-1,0)))</f>
        <v>0</v>
      </c>
      <c r="J40" s="0" t="n">
        <f aca="true">IF(OR($C40="S",$C40=0),0,MATCH(0,OFFSET($D40,1,$C40,ROW($C$59)-ROW($C40)),0))</f>
        <v>0</v>
      </c>
      <c r="K40" s="0" t="n">
        <f aca="true">IF(OR($C40="S",$C40=0),0,MATCH(OFFSET($D40,0,$C40)+IF($C40&lt;&gt;1,1,COUNTIF(QCI!$A$13:$A$24,ORÇAMENTO!E40)),OFFSET($D40,1,$C40,ROW($C$59)-ROW($C40)),0))</f>
        <v>0</v>
      </c>
      <c r="L40" s="204" t="str">
        <f aca="false">IF(OR($X40&gt;0,$C40=1,$C40=2,$C40=3,$C40=4),"F","")</f>
        <v/>
      </c>
      <c r="M40" s="205" t="s">
        <v>767</v>
      </c>
      <c r="N40" s="206" t="str">
        <f aca="false">CHOOSE(1+LOG(1+2*(C40=1)+4*(C40=2)+8*(C40=3)+16*(C40=4)+32*(C40="S"),2),"","Meta","Nível 2","Nível 3","Nível 4","Serviço")</f>
        <v>Serviço</v>
      </c>
      <c r="O40" s="207" t="str">
        <f aca="false">IF(OR($C40=0,$L40=""),"-",CONCATENATE(E40&amp;".",IF(AND($A$5&gt;=2,$C40&gt;=2),F40&amp;".",""),IF(AND($A$5&gt;=3,$C40&gt;=3),G40&amp;".",""),IF(AND($A$5&gt;=4,$C40&gt;=4),H40&amp;".",""),IF($C40="S",I40&amp;".","")))</f>
        <v>-</v>
      </c>
      <c r="P40" s="208" t="s">
        <v>768</v>
      </c>
      <c r="Q40" s="241" t="s">
        <v>849</v>
      </c>
      <c r="R40" s="210" t="str">
        <f aca="true" t="array" ref="R40:R40">IF($C40="S",REFERENCIA.Descricao,"(digite a descrição aqui)")</f>
        <v>(Código não identificado nas referências)</v>
      </c>
      <c r="S40" s="211" t="str">
        <f aca="true" t="array" ref="S40:S40">REFERENCIA.Unidade</f>
        <v>-</v>
      </c>
      <c r="T40" s="212" t="n">
        <f aca="true">OFFSET(CÁLCULO!H$15,ROW($T40)-ROW(T$15),0)</f>
        <v>65</v>
      </c>
      <c r="U40" s="213" t="n">
        <f aca="false">AG40</f>
        <v>0</v>
      </c>
      <c r="V40" s="214" t="s">
        <v>723</v>
      </c>
      <c r="W40" s="212" t="n">
        <f aca="false" t="array" ref="W40:W40">IF($C40="S",ROUND(IF(TIPOORCAMENTO="Proposto",ORÇAMENTO.CustoUnitario*(1+$AH40),ORÇAMENTO.PrecoUnitarioLicitado),15-13*$AF$10),0)</f>
        <v>0</v>
      </c>
      <c r="X40" s="215" t="n">
        <f aca="true" t="array" ref="X40:X40">IF($C40="S",IF(OR(Import.TipoArredondamento&lt;&gt;"TransfereGOV",ACOMPANHAMENTO="BM"),VTOTAL1,SUM(OFFSET(CÁLCULO!$AA$15,ROW($X40)-ROW($X$15),1):OFFSET(CÁLCULO!$AL$15,ROW($X40)-ROW($X$15),-1))),IF($C40=0,0,ROUND(SomaAgrup,15-13*$AF$11)))</f>
        <v>0</v>
      </c>
      <c r="Y40" s="216" t="s">
        <v>776</v>
      </c>
      <c r="Z40" s="0" t="str">
        <f aca="false">IF(AND($C40="S",$X40&gt;0),IF(ISBLANK($Y40),"RA",LEFT($Y40,2)),"")</f>
        <v/>
      </c>
      <c r="AA40" s="217" t="n">
        <f aca="true" t="array" ref="AA40:AA40">IF($C40="S",IF($Z40="CP",$X40,IF($Z40="RA",(($X40)*QCI!$AA$3),0)),SomaAgrup)</f>
        <v>0</v>
      </c>
      <c r="AB40" s="218" t="n">
        <f aca="true" t="array" ref="AB40:AB40">IF($C40="S",IF($Z40="OU",ROUND($X40,2),0),SomaAgrup)</f>
        <v>0</v>
      </c>
      <c r="AC40" s="219" t="str">
        <f aca="false" t="array" ref="AC40:AC40">IF($N40=""," ",
IF(AND($C40&lt;&gt;"S",OR($R40="",$R40="(digite a descrição aqui)")),"DESCRIÇÃO",
IF(AND($C40="S",OR($Q40&lt;&gt;"",$T40&gt;0,$U40&gt;0),$P40=""),"FONTE",
IF(AND($C40="S",$P40&lt;&gt;"",OR($T40&gt;0,$U40&gt;0),$Q40=""),"CÓDIGO",
IF(AND($C40="S",$P40&lt;&gt;"",$Q40&lt;&gt;"",$R40="(Código não identificado nas referências)"),"CÓDIGO N/ID",
IF(AND($C40="S",OR($R40="",$R40="(digite a descrição aqui)"),OR($Q40&lt;&gt;"",$T40&gt;0,$U40&gt;0)),"DESCRIÇÃO",
IF(AND($C40="S",$P40&lt;&gt;"",$Q40&lt;&gt;"",$S40=""),"UNIDADE",
IF(AND($C40="S",$P40&lt;&gt;"",$Q40&lt;&gt;"",$U40=0),"SEM CUSTO",
IF(AND(TIPOORCAMENTO="Licitado",$AL40=0,$AN40&gt;0),"SEM PREÇO",
IF(AND($C40="S",$P40&lt;&gt;"",$Q40&lt;&gt;"",$U40&gt;0,AND($V40&lt;&gt;"BDI 1",$V40&lt;&gt;"BDI 2",$V40&lt;&gt;"BDI 3")),IF(ISNUMBER($V40),"JUSTIFICAR BDI","BDI"),
IF(OR(AND(import.recurso="OGU",TIPOORCAMENTO="Proposto",LEFT($O$8,5)&lt;&gt;"(N/D:",$AG40&lt;&gt;"",ORÇAMENTO.CustoUnitario&gt;$AG40),AND(TIPOORCAMENTO="LICITADO",ORÇAMENTO.PrecoUnitarioLicitado&gt;$AN40)),"ACIMA REF.",
IF(AND($C40="S",$P40&lt;&gt;"",$Q40&lt;&gt;"",$T40=0,$U40&gt;0),"QUANT.",
IF(AND(Import.TipoArredondamento="TransfereGOV",$L40="F",$C40="S",LEN($Q40)&gt;13),"Código &gt;13",
IF(AND(Import.TipoArredondamento="TransfereGOV",$L40="F",$C40&lt;&gt;"S",LEN($R40)&gt;100),"Descrição &gt;100",
IF(AND(Import.TipoArredondamento="TransfereGOV",$L40="F",$C40="S",LEN($R40)&gt;500),"Descrição &gt;500",
IF(AND(Import.TipoArredondamento="TransfereGOV",$L40="F",$C40="S",LEFT(TRIM(UPPER($P40)),6)&lt;&gt;"SINAPI",ISNA(VLOOKUP(TRIM(UPPER($S40)),ListaTgov.Unidades,1,FALSE()))),"Unid. Não Disp",
" "))))))))))))))))</f>
        <v>CÓDIGO N/ID</v>
      </c>
      <c r="AD40" s="0" t="str">
        <f aca="true">IF(C40&lt;=CRONO.NivelExibicao,MAX($AD$15:OFFSET(AD40,-1,0))+IF($C40&lt;&gt;1,1,MAX(1,COUNTIF(QCI!$A$13:$A$24,OFFSET($E40,-1,0)))),"")</f>
        <v/>
      </c>
      <c r="AE40" s="48" t="str">
        <f aca="false" t="array" ref="AE40:AE40">IF(AND($C40="S",ORÇAMENTO.CodBarra&lt;&gt;""),IF(ORÇAMENTO.Fonte="",ORÇAMENTO.CodBarra,CONCATENATE(ORÇAMENTO.Fonte," ",ORÇAMENTO.CodBarra)))</f>
        <v>SINAPI 104658</v>
      </c>
      <c r="AF40" s="63" t="str">
        <f aca="true" t="array" ref="AF40:AF40">IF(ISERROR(ORÇAMENTO.BancoRef),"(abra o arquivo 'Referência "&amp;Excel_BuiltIn_Database&amp;".xlsm)",IF(OR($C40&lt;&gt;"S",ORÇAMENTO.CodBarra=""),"(Sem Código)",IF(ISERROR(MATCH($AE40,INDIRECT(ORÇAMENTO.BancoRef),0)),"(Código não identificado nas referências)",MATCH($AE40,INDIRECT(ORÇAMENTO.BancoRef),0))))</f>
        <v>(Código não identificado nas referências)</v>
      </c>
      <c r="AG40" s="220" t="n">
        <f aca="true" t="array" ref="AG40:AG40">ROUND(IF(DESONERACAO="sim",REFERENCIA.Desonerado,REFERENCIA.NaoDesonerado),2)</f>
        <v>0</v>
      </c>
      <c r="AH40" s="221" t="n">
        <f aca="false">ROUND(IF(ISNUMBER(ORÇAMENTO.OpcaoBDI),ORÇAMENTO.OpcaoBDI,IF(LEFT(ORÇAMENTO.OpcaoBDI,3)="BDI",HLOOKUP(ORÇAMENTO.OpcaoBDI,$F$4:$H$5,2,FALSE()),0)),15-11*$AF$9)</f>
        <v>0.25</v>
      </c>
      <c r="AJ40" s="222" t="n">
        <v>65</v>
      </c>
      <c r="AL40" s="223"/>
      <c r="AM40" s="224" t="n">
        <f aca="false">$X40</f>
        <v>0</v>
      </c>
      <c r="AN40" s="225" t="n">
        <f aca="false" t="array" ref="AN40:AN40">ROUND(ORÇAMENTO.CustoUnitario*(1+$AH40),2)</f>
        <v>0</v>
      </c>
    </row>
    <row r="41" customFormat="false" ht="12.75" hidden="false" customHeight="false" outlineLevel="0" collapsed="false">
      <c r="A41" s="0" t="str">
        <f aca="false">CHOOSE(1+LOG(1+2*(ORÇAMENTO.Nivel="Meta")+4*(ORÇAMENTO.Nivel="Nível 2")+8*(ORÇAMENTO.Nivel="Nível 3")+16*(ORÇAMENTO.Nivel="Nível 4")+32*(ORÇAMENTO.Nivel="Serviço"),2),0,1,2,3,4,"S")</f>
        <v>S</v>
      </c>
      <c r="B41" s="0" t="n">
        <f aca="true">IF(OR(C41="s",C41=0),OFFSET(B41,-1,0),C41)</f>
        <v>2</v>
      </c>
      <c r="C41" s="0" t="str">
        <f aca="true">IF(OFFSET(C41,-1,0)="L",1,IF(OFFSET(C41,-1,0)=1,2,IF(OR(A41="s",A41=0),"S",IF(AND(OFFSET(C41,-1,0)=2,A41=4),3,IF(AND(OR(OFFSET(C41,-1,0)="s",OFFSET(C41,-1,0)=0),A41&lt;&gt;"s",A41&gt;OFFSET(B41,-1,0)),OFFSET(B41,-1,0),A41)))))</f>
        <v>S</v>
      </c>
      <c r="D41" s="0" t="n">
        <f aca="false">IF(OR(C41="S",C41=0),0,IF(ISERROR(K41),J41,SMALL(J41:K41,1)))</f>
        <v>0</v>
      </c>
      <c r="E41" s="0" t="n">
        <f aca="true">IF($C41=1,OFFSET(E41,-1,0)+MAX(1,COUNTIF(QCI!$A$13:$A$24,OFFSET(ORÇAMENTO!E41,-1,0))),OFFSET(E41,-1,0))</f>
        <v>1</v>
      </c>
      <c r="F41" s="0" t="n">
        <f aca="true">IF($C41=1,0,IF($C41=2,OFFSET(F41,-1,0)+1,OFFSET(F41,-1,0)))</f>
        <v>7</v>
      </c>
      <c r="G41" s="0" t="n">
        <f aca="true">IF(AND($C41&lt;=2,$C41&lt;&gt;0),0,IF($C41=3,OFFSET(G41,-1,0)+1,OFFSET(G41,-1,0)))</f>
        <v>0</v>
      </c>
      <c r="H41" s="0" t="n">
        <f aca="true">IF(AND($C41&lt;=3,$C41&lt;&gt;0),0,IF($C41=4,OFFSET(H41,-1,0)+1,OFFSET(H41,-1,0)))</f>
        <v>0</v>
      </c>
      <c r="I41" s="0" t="n">
        <f aca="true">IF(AND($C41&lt;=4,$C41&lt;&gt;0),0,IF(AND($C41="S",$X41&gt;0),OFFSET(I41,-1,0)+1,OFFSET(I41,-1,0)))</f>
        <v>0</v>
      </c>
      <c r="J41" s="0" t="n">
        <f aca="true">IF(OR($C41="S",$C41=0),0,MATCH(0,OFFSET($D41,1,$C41,ROW($C$59)-ROW($C41)),0))</f>
        <v>0</v>
      </c>
      <c r="K41" s="0" t="n">
        <f aca="true">IF(OR($C41="S",$C41=0),0,MATCH(OFFSET($D41,0,$C41)+IF($C41&lt;&gt;1,1,COUNTIF(QCI!$A$13:$A$24,ORÇAMENTO!E41)),OFFSET($D41,1,$C41,ROW($C$59)-ROW($C41)),0))</f>
        <v>0</v>
      </c>
      <c r="L41" s="204" t="str">
        <f aca="false">IF(OR($X41&gt;0,$C41=1,$C41=2,$C41=3,$C41=4),"F","")</f>
        <v/>
      </c>
      <c r="M41" s="205" t="s">
        <v>767</v>
      </c>
      <c r="N41" s="206" t="str">
        <f aca="false">CHOOSE(1+LOG(1+2*(C41=1)+4*(C41=2)+8*(C41=3)+16*(C41=4)+32*(C41="S"),2),"","Meta","Nível 2","Nível 3","Nível 4","Serviço")</f>
        <v>Serviço</v>
      </c>
      <c r="O41" s="207" t="str">
        <f aca="false">IF(OR($C41=0,$L41=""),"-",CONCATENATE(E41&amp;".",IF(AND($A$5&gt;=2,$C41&gt;=2),F41&amp;".",""),IF(AND($A$5&gt;=3,$C41&gt;=3),G41&amp;".",""),IF(AND($A$5&gt;=4,$C41&gt;=4),H41&amp;".",""),IF($C41="S",I41&amp;".","")))</f>
        <v>-</v>
      </c>
      <c r="P41" s="208" t="s">
        <v>771</v>
      </c>
      <c r="Q41" s="241" t="s">
        <v>850</v>
      </c>
      <c r="R41" s="210" t="str">
        <f aca="true" t="array" ref="R41:R41">IF($C41="S",REFERENCIA.Descricao,"(digite a descrição aqui)")</f>
        <v>(Código não identificado nas referências)</v>
      </c>
      <c r="S41" s="211" t="str">
        <f aca="true" t="array" ref="S41:S41">REFERENCIA.Unidade</f>
        <v>-</v>
      </c>
      <c r="T41" s="212" t="n">
        <f aca="true">OFFSET(CÁLCULO!H$15,ROW($T41)-ROW(T$15),0)</f>
        <v>1</v>
      </c>
      <c r="U41" s="213" t="n">
        <f aca="false">AG41</f>
        <v>0</v>
      </c>
      <c r="V41" s="214" t="s">
        <v>723</v>
      </c>
      <c r="W41" s="212" t="n">
        <f aca="false" t="array" ref="W41:W41">IF($C41="S",ROUND(IF(TIPOORCAMENTO="Proposto",ORÇAMENTO.CustoUnitario*(1+$AH41),ORÇAMENTO.PrecoUnitarioLicitado),15-13*$AF$10),0)</f>
        <v>0</v>
      </c>
      <c r="X41" s="215" t="n">
        <f aca="true" t="array" ref="X41:X41">IF($C41="S",IF(OR(Import.TipoArredondamento&lt;&gt;"TransfereGOV",ACOMPANHAMENTO="BM"),VTOTAL1,SUM(OFFSET(CÁLCULO!$AA$15,ROW($X41)-ROW($X$15),1):OFFSET(CÁLCULO!$AL$15,ROW($X41)-ROW($X$15),-1))),IF($C41=0,0,ROUND(SomaAgrup,15-13*$AF$11)))</f>
        <v>0</v>
      </c>
      <c r="Y41" s="216" t="s">
        <v>776</v>
      </c>
      <c r="Z41" s="0" t="str">
        <f aca="false">IF(AND($C41="S",$X41&gt;0),IF(ISBLANK($Y41),"RA",LEFT($Y41,2)),"")</f>
        <v/>
      </c>
      <c r="AA41" s="217" t="n">
        <f aca="true" t="array" ref="AA41:AA41">IF($C41="S",IF($Z41="CP",$X41,IF($Z41="RA",(($X41)*QCI!$AA$3),0)),SomaAgrup)</f>
        <v>0</v>
      </c>
      <c r="AB41" s="218" t="n">
        <f aca="true" t="array" ref="AB41:AB41">IF($C41="S",IF($Z41="OU",ROUND($X41,2),0),SomaAgrup)</f>
        <v>0</v>
      </c>
      <c r="AC41" s="219" t="str">
        <f aca="false" t="array" ref="AC41:AC41">IF($N41=""," ",
IF(AND($C41&lt;&gt;"S",OR($R41="",$R41="(digite a descrição aqui)")),"DESCRIÇÃO",
IF(AND($C41="S",OR($Q41&lt;&gt;"",$T41&gt;0,$U41&gt;0),$P41=""),"FONTE",
IF(AND($C41="S",$P41&lt;&gt;"",OR($T41&gt;0,$U41&gt;0),$Q41=""),"CÓDIGO",
IF(AND($C41="S",$P41&lt;&gt;"",$Q41&lt;&gt;"",$R41="(Código não identificado nas referências)"),"CÓDIGO N/ID",
IF(AND($C41="S",OR($R41="",$R41="(digite a descrição aqui)"),OR($Q41&lt;&gt;"",$T41&gt;0,$U41&gt;0)),"DESCRIÇÃO",
IF(AND($C41="S",$P41&lt;&gt;"",$Q41&lt;&gt;"",$S41=""),"UNIDADE",
IF(AND($C41="S",$P41&lt;&gt;"",$Q41&lt;&gt;"",$U41=0),"SEM CUSTO",
IF(AND(TIPOORCAMENTO="Licitado",$AL41=0,$AN41&gt;0),"SEM PREÇO",
IF(AND($C41="S",$P41&lt;&gt;"",$Q41&lt;&gt;"",$U41&gt;0,AND($V41&lt;&gt;"BDI 1",$V41&lt;&gt;"BDI 2",$V41&lt;&gt;"BDI 3")),IF(ISNUMBER($V41),"JUSTIFICAR BDI","BDI"),
IF(OR(AND(import.recurso="OGU",TIPOORCAMENTO="Proposto",LEFT($O$8,5)&lt;&gt;"(N/D:",$AG41&lt;&gt;"",ORÇAMENTO.CustoUnitario&gt;$AG41),AND(TIPOORCAMENTO="LICITADO",ORÇAMENTO.PrecoUnitarioLicitado&gt;$AN41)),"ACIMA REF.",
IF(AND($C41="S",$P41&lt;&gt;"",$Q41&lt;&gt;"",$T41=0,$U41&gt;0),"QUANT.",
IF(AND(Import.TipoArredondamento="TransfereGOV",$L41="F",$C41="S",LEN($Q41)&gt;13),"Código &gt;13",
IF(AND(Import.TipoArredondamento="TransfereGOV",$L41="F",$C41&lt;&gt;"S",LEN($R41)&gt;100),"Descrição &gt;100",
IF(AND(Import.TipoArredondamento="TransfereGOV",$L41="F",$C41="S",LEN($R41)&gt;500),"Descrição &gt;500",
IF(AND(Import.TipoArredondamento="TransfereGOV",$L41="F",$C41="S",LEFT(TRIM(UPPER($P41)),6)&lt;&gt;"SINAPI",ISNA(VLOOKUP(TRIM(UPPER($S41)),ListaTgov.Unidades,1,FALSE()))),"Unid. Não Disp",
" "))))))))))))))))</f>
        <v>CÓDIGO N/ID</v>
      </c>
      <c r="AD41" s="0" t="str">
        <f aca="true">IF(C41&lt;=CRONO.NivelExibicao,MAX($AD$15:OFFSET(AD41,-1,0))+IF($C41&lt;&gt;1,1,MAX(1,COUNTIF(QCI!$A$13:$A$24,OFFSET($E41,-1,0)))),"")</f>
        <v/>
      </c>
      <c r="AE41" s="48" t="str">
        <f aca="false" t="array" ref="AE41:AE41">IF(AND($C41="S",ORÇAMENTO.CodBarra&lt;&gt;""),IF(ORÇAMENTO.Fonte="",ORÇAMENTO.CodBarra,CONCATENATE(ORÇAMENTO.Fonte," ",ORÇAMENTO.CodBarra)))</f>
        <v>Composição 12</v>
      </c>
      <c r="AF41" s="63" t="str">
        <f aca="true" t="array" ref="AF41:AF41">IF(ISERROR(ORÇAMENTO.BancoRef),"(abra o arquivo 'Referência "&amp;Excel_BuiltIn_Database&amp;".xlsm)",IF(OR($C41&lt;&gt;"S",ORÇAMENTO.CodBarra=""),"(Sem Código)",IF(ISERROR(MATCH($AE41,INDIRECT(ORÇAMENTO.BancoRef),0)),"(Código não identificado nas referências)",MATCH($AE41,INDIRECT(ORÇAMENTO.BancoRef),0))))</f>
        <v>(Código não identificado nas referências)</v>
      </c>
      <c r="AG41" s="220" t="n">
        <f aca="true" t="array" ref="AG41:AG41">ROUND(IF(DESONERACAO="sim",REFERENCIA.Desonerado,REFERENCIA.NaoDesonerado),2)</f>
        <v>0</v>
      </c>
      <c r="AH41" s="221" t="n">
        <f aca="false">ROUND(IF(ISNUMBER(ORÇAMENTO.OpcaoBDI),ORÇAMENTO.OpcaoBDI,IF(LEFT(ORÇAMENTO.OpcaoBDI,3)="BDI",HLOOKUP(ORÇAMENTO.OpcaoBDI,$F$4:$H$5,2,FALSE()),0)),15-11*$AF$9)</f>
        <v>0.25</v>
      </c>
      <c r="AJ41" s="222" t="n">
        <v>1</v>
      </c>
      <c r="AL41" s="223"/>
      <c r="AM41" s="224" t="n">
        <f aca="false">$X41</f>
        <v>0</v>
      </c>
      <c r="AN41" s="225" t="n">
        <f aca="false" t="array" ref="AN41:AN41">ROUND(ORÇAMENTO.CustoUnitario*(1+$AH41),2)</f>
        <v>0</v>
      </c>
    </row>
    <row r="42" customFormat="false" ht="12.75" hidden="false" customHeight="false" outlineLevel="0" collapsed="false">
      <c r="A42" s="0" t="n">
        <f aca="false">CHOOSE(1+LOG(1+2*(ORÇAMENTO.Nivel="Meta")+4*(ORÇAMENTO.Nivel="Nível 2")+8*(ORÇAMENTO.Nivel="Nível 3")+16*(ORÇAMENTO.Nivel="Nível 4")+32*(ORÇAMENTO.Nivel="Serviço"),2),0,1,2,3,4,"S")</f>
        <v>2</v>
      </c>
      <c r="B42" s="0" t="n">
        <f aca="true">IF(OR(C42="s",C42=0),OFFSET(B42,-1,0),C42)</f>
        <v>2</v>
      </c>
      <c r="C42" s="0" t="n">
        <f aca="true">IF(OFFSET(C42,-1,0)="L",1,IF(OFFSET(C42,-1,0)=1,2,IF(OR(A42="s",A42=0),"S",IF(AND(OFFSET(C42,-1,0)=2,A42=4),3,IF(AND(OR(OFFSET(C42,-1,0)="s",OFFSET(C42,-1,0)=0),A42&lt;&gt;"s",A42&gt;OFFSET(B42,-1,0)),OFFSET(B42,-1,0),A42)))))</f>
        <v>2</v>
      </c>
      <c r="D42" s="0" t="n">
        <f aca="false">IF(OR(C42="S",C42=0),0,IF(ISERROR(K42),J42,SMALL(J42:K42,1)))</f>
        <v>7</v>
      </c>
      <c r="E42" s="0" t="n">
        <f aca="true">IF($C42=1,OFFSET(E42,-1,0)+MAX(1,COUNTIF(QCI!$A$13:$A$24,OFFSET(ORÇAMENTO!E42,-1,0))),OFFSET(E42,-1,0))</f>
        <v>1</v>
      </c>
      <c r="F42" s="0" t="n">
        <f aca="true">IF($C42=1,0,IF($C42=2,OFFSET(F42,-1,0)+1,OFFSET(F42,-1,0)))</f>
        <v>8</v>
      </c>
      <c r="G42" s="0" t="n">
        <f aca="true">IF(AND($C42&lt;=2,$C42&lt;&gt;0),0,IF($C42=3,OFFSET(G42,-1,0)+1,OFFSET(G42,-1,0)))</f>
        <v>0</v>
      </c>
      <c r="H42" s="0" t="n">
        <f aca="true">IF(AND($C42&lt;=3,$C42&lt;&gt;0),0,IF($C42=4,OFFSET(H42,-1,0)+1,OFFSET(H42,-1,0)))</f>
        <v>0</v>
      </c>
      <c r="I42" s="0" t="n">
        <f aca="true">IF(AND($C42&lt;=4,$C42&lt;&gt;0),0,IF(AND($C42="S",$X42&gt;0),OFFSET(I42,-1,0)+1,OFFSET(I42,-1,0)))</f>
        <v>0</v>
      </c>
      <c r="J42" s="0" t="n">
        <f aca="true">IF(OR($C42="S",$C42=0),0,MATCH(0,OFFSET($D42,1,$C42,ROW($C$59)-ROW($C42)),0))</f>
        <v>17</v>
      </c>
      <c r="K42" s="0" t="n">
        <f aca="true">IF(OR($C42="S",$C42=0),0,MATCH(OFFSET($D42,0,$C42)+IF($C42&lt;&gt;1,1,COUNTIF(QCI!$A$13:$A$24,ORÇAMENTO!E42)),OFFSET($D42,1,$C42,ROW($C$59)-ROW($C42)),0))</f>
        <v>7</v>
      </c>
      <c r="L42" s="204" t="str">
        <f aca="false">IF(OR($X42&gt;0,$C42=1,$C42=2,$C42=3,$C42=4),"F","")</f>
        <v>F</v>
      </c>
      <c r="M42" s="205" t="s">
        <v>764</v>
      </c>
      <c r="N42" s="206" t="str">
        <f aca="false">CHOOSE(1+LOG(1+2*(C42=1)+4*(C42=2)+8*(C42=3)+16*(C42=4)+32*(C42="S"),2),"","Meta","Nível 2","Nível 3","Nível 4","Serviço")</f>
        <v>Nível 2</v>
      </c>
      <c r="O42" s="207" t="str">
        <f aca="false">IF(OR($C42=0,$L42=""),"-",CONCATENATE(E42&amp;".",IF(AND($A$5&gt;=2,$C42&gt;=2),F42&amp;".",""),IF(AND($A$5&gt;=3,$C42&gt;=3),G42&amp;".",""),IF(AND($A$5&gt;=4,$C42&gt;=4),H42&amp;".",""),IF($C42="S",I42&amp;".","")))</f>
        <v>1.8.</v>
      </c>
      <c r="P42" s="208" t="s">
        <v>768</v>
      </c>
      <c r="Q42" s="209"/>
      <c r="R42" s="240" t="s">
        <v>591</v>
      </c>
      <c r="S42" s="211" t="str">
        <f aca="true" t="array" ref="S42:S42">REFERENCIA.Unidade</f>
        <v>-</v>
      </c>
      <c r="T42" s="212" t="n">
        <f aca="true">OFFSET(CÁLCULO!H$15,ROW($T42)-ROW(T$15),0)</f>
        <v>0</v>
      </c>
      <c r="U42" s="213" t="n">
        <f aca="false">AG42</f>
        <v>0</v>
      </c>
      <c r="V42" s="214" t="s">
        <v>723</v>
      </c>
      <c r="W42" s="212" t="n">
        <f aca="false" t="array" ref="W42:W42">IF($C42="S",ROUND(IF(TIPOORCAMENTO="Proposto",ORÇAMENTO.CustoUnitario*(1+$AH42),ORÇAMENTO.PrecoUnitarioLicitado),15-13*$AF$10),0)</f>
        <v>0</v>
      </c>
      <c r="X42" s="215" t="n">
        <f aca="true" t="array" ref="X42:X42">IF($C42="S",IF(OR(Import.TipoArredondamento&lt;&gt;"TransfereGOV",ACOMPANHAMENTO="BM"),VTOTAL1,SUM(OFFSET(CÁLCULO!$AA$15,ROW($X42)-ROW($X$15),1):OFFSET(CÁLCULO!$AL$15,ROW($X42)-ROW($X$15),-1))),IF($C42=0,0,ROUND(SomaAgrup,15-13*$AF$11)))</f>
        <v>0</v>
      </c>
      <c r="Y42" s="216" t="s">
        <v>776</v>
      </c>
      <c r="Z42" s="0" t="str">
        <f aca="false">IF(AND($C42="S",$X42&gt;0),IF(ISBLANK($Y42),"RA",LEFT($Y42,2)),"")</f>
        <v/>
      </c>
      <c r="AA42" s="217" t="n">
        <f aca="true" t="array" ref="AA42:AA42">IF($C42="S",IF($Z42="CP",$X42,IF($Z42="RA",(($X42)*QCI!$AA$3),0)),SomaAgrup)</f>
        <v>0</v>
      </c>
      <c r="AB42" s="218" t="n">
        <f aca="true" t="array" ref="AB42:AB42">IF($C42="S",IF($Z42="OU",ROUND($X42,2),0),SomaAgrup)</f>
        <v>0</v>
      </c>
      <c r="AC42" s="219" t="str">
        <f aca="false" t="array" ref="AC42:AC42">IF($N42=""," ",
IF(AND($C42&lt;&gt;"S",OR($R42="",$R42="(digite a descrição aqui)")),"DESCRIÇÃO",
IF(AND($C42="S",OR($Q42&lt;&gt;"",$T42&gt;0,$U42&gt;0),$P42=""),"FONTE",
IF(AND($C42="S",$P42&lt;&gt;"",OR($T42&gt;0,$U42&gt;0),$Q42=""),"CÓDIGO",
IF(AND($C42="S",$P42&lt;&gt;"",$Q42&lt;&gt;"",$R42="(Código não identificado nas referências)"),"CÓDIGO N/ID",
IF(AND($C42="S",OR($R42="",$R42="(digite a descrição aqui)"),OR($Q42&lt;&gt;"",$T42&gt;0,$U42&gt;0)),"DESCRIÇÃO",
IF(AND($C42="S",$P42&lt;&gt;"",$Q42&lt;&gt;"",$S42=""),"UNIDADE",
IF(AND($C42="S",$P42&lt;&gt;"",$Q42&lt;&gt;"",$U42=0),"SEM CUSTO",
IF(AND(TIPOORCAMENTO="Licitado",$AL42=0,$AN42&gt;0),"SEM PREÇO",
IF(AND($C42="S",$P42&lt;&gt;"",$Q42&lt;&gt;"",$U42&gt;0,AND($V42&lt;&gt;"BDI 1",$V42&lt;&gt;"BDI 2",$V42&lt;&gt;"BDI 3")),IF(ISNUMBER($V42),"JUSTIFICAR BDI","BDI"),
IF(OR(AND(import.recurso="OGU",TIPOORCAMENTO="Proposto",LEFT($O$8,5)&lt;&gt;"(N/D:",$AG42&lt;&gt;"",ORÇAMENTO.CustoUnitario&gt;$AG42),AND(TIPOORCAMENTO="LICITADO",ORÇAMENTO.PrecoUnitarioLicitado&gt;$AN42)),"ACIMA REF.",
IF(AND($C42="S",$P42&lt;&gt;"",$Q42&lt;&gt;"",$T42=0,$U42&gt;0),"QUANT.",
IF(AND(Import.TipoArredondamento="TransfereGOV",$L42="F",$C42="S",LEN($Q42)&gt;13),"Código &gt;13",
IF(AND(Import.TipoArredondamento="TransfereGOV",$L42="F",$C42&lt;&gt;"S",LEN($R42)&gt;100),"Descrição &gt;100",
IF(AND(Import.TipoArredondamento="TransfereGOV",$L42="F",$C42="S",LEN($R42)&gt;500),"Descrição &gt;500",
IF(AND(Import.TipoArredondamento="TransfereGOV",$L42="F",$C42="S",LEFT(TRIM(UPPER($P42)),6)&lt;&gt;"SINAPI",ISNA(VLOOKUP(TRIM(UPPER($S42)),ListaTgov.Unidades,1,FALSE()))),"Unid. Não Disp",
" "))))))))))))))))</f>
        <v> </v>
      </c>
      <c r="AD42" s="0" t="n">
        <f aca="true">IF(C42&lt;=CRONO.NivelExibicao,MAX($AD$15:OFFSET(AD42,-1,0))+IF($C42&lt;&gt;1,1,MAX(1,COUNTIF(QCI!$A$13:$A$24,OFFSET($E42,-1,0)))),"")</f>
        <v>9</v>
      </c>
      <c r="AE42" s="48" t="n">
        <f aca="false" t="array" ref="AE42:AE42">IF(AND($C42="S",ORÇAMENTO.CodBarra&lt;&gt;""),IF(ORÇAMENTO.Fonte="",ORÇAMENTO.CodBarra,CONCATENATE(ORÇAMENTO.Fonte," ",ORÇAMENTO.CodBarra)))</f>
        <v>0</v>
      </c>
      <c r="AF42" s="63" t="str">
        <f aca="true" t="array" ref="AF42:AF42">IF(ISERROR(ORÇAMENTO.BancoRef),"(abra o arquivo 'Referência "&amp;Excel_BuiltIn_Database&amp;".xlsm)",IF(OR($C42&lt;&gt;"S",ORÇAMENTO.CodBarra=""),"(Sem Código)",IF(ISERROR(MATCH($AE42,INDIRECT(ORÇAMENTO.BancoRef),0)),"(Código não identificado nas referências)",MATCH($AE42,INDIRECT(ORÇAMENTO.BancoRef),0))))</f>
        <v>(Sem Código)</v>
      </c>
      <c r="AG42" s="220" t="n">
        <f aca="true" t="array" ref="AG42:AG42">ROUND(IF(DESONERACAO="sim",REFERENCIA.Desonerado,REFERENCIA.NaoDesonerado),2)</f>
        <v>0</v>
      </c>
      <c r="AH42" s="221" t="n">
        <f aca="false">ROUND(IF(ISNUMBER(ORÇAMENTO.OpcaoBDI),ORÇAMENTO.OpcaoBDI,IF(LEFT(ORÇAMENTO.OpcaoBDI,3)="BDI",HLOOKUP(ORÇAMENTO.OpcaoBDI,$F$4:$H$5,2,FALSE()),0)),15-11*$AF$9)</f>
        <v>0.25</v>
      </c>
      <c r="AJ42" s="222"/>
      <c r="AL42" s="223"/>
      <c r="AM42" s="224" t="n">
        <f aca="false">$X42</f>
        <v>0</v>
      </c>
      <c r="AN42" s="225" t="n">
        <f aca="false" t="array" ref="AN42:AN42">ROUND(ORÇAMENTO.CustoUnitario*(1+$AH42),2)</f>
        <v>0</v>
      </c>
    </row>
    <row r="43" customFormat="false" ht="12.75" hidden="false" customHeight="false" outlineLevel="0" collapsed="false">
      <c r="A43" s="0" t="str">
        <f aca="false">CHOOSE(1+LOG(1+2*(ORÇAMENTO.Nivel="Meta")+4*(ORÇAMENTO.Nivel="Nível 2")+8*(ORÇAMENTO.Nivel="Nível 3")+16*(ORÇAMENTO.Nivel="Nível 4")+32*(ORÇAMENTO.Nivel="Serviço"),2),0,1,2,3,4,"S")</f>
        <v>S</v>
      </c>
      <c r="B43" s="0" t="n">
        <f aca="true">IF(OR(C43="s",C43=0),OFFSET(B43,-1,0),C43)</f>
        <v>2</v>
      </c>
      <c r="C43" s="0" t="str">
        <f aca="true">IF(OFFSET(C43,-1,0)="L",1,IF(OFFSET(C43,-1,0)=1,2,IF(OR(A43="s",A43=0),"S",IF(AND(OFFSET(C43,-1,0)=2,A43=4),3,IF(AND(OR(OFFSET(C43,-1,0)="s",OFFSET(C43,-1,0)=0),A43&lt;&gt;"s",A43&gt;OFFSET(B43,-1,0)),OFFSET(B43,-1,0),A43)))))</f>
        <v>S</v>
      </c>
      <c r="D43" s="0" t="n">
        <f aca="false">IF(OR(C43="S",C43=0),0,IF(ISERROR(K43),J43,SMALL(J43:K43,1)))</f>
        <v>0</v>
      </c>
      <c r="E43" s="0" t="n">
        <f aca="true">IF($C43=1,OFFSET(E43,-1,0)+MAX(1,COUNTIF(QCI!$A$13:$A$24,OFFSET(ORÇAMENTO!E43,-1,0))),OFFSET(E43,-1,0))</f>
        <v>1</v>
      </c>
      <c r="F43" s="0" t="n">
        <f aca="true">IF($C43=1,0,IF($C43=2,OFFSET(F43,-1,0)+1,OFFSET(F43,-1,0)))</f>
        <v>8</v>
      </c>
      <c r="G43" s="0" t="n">
        <f aca="true">IF(AND($C43&lt;=2,$C43&lt;&gt;0),0,IF($C43=3,OFFSET(G43,-1,0)+1,OFFSET(G43,-1,0)))</f>
        <v>0</v>
      </c>
      <c r="H43" s="0" t="n">
        <f aca="true">IF(AND($C43&lt;=3,$C43&lt;&gt;0),0,IF($C43=4,OFFSET(H43,-1,0)+1,OFFSET(H43,-1,0)))</f>
        <v>0</v>
      </c>
      <c r="I43" s="0" t="n">
        <f aca="true">IF(AND($C43&lt;=4,$C43&lt;&gt;0),0,IF(AND($C43="S",$X43&gt;0),OFFSET(I43,-1,0)+1,OFFSET(I43,-1,0)))</f>
        <v>0</v>
      </c>
      <c r="J43" s="0" t="n">
        <f aca="true">IF(OR($C43="S",$C43=0),0,MATCH(0,OFFSET($D43,1,$C43,ROW($C$59)-ROW($C43)),0))</f>
        <v>0</v>
      </c>
      <c r="K43" s="0" t="n">
        <f aca="true">IF(OR($C43="S",$C43=0),0,MATCH(OFFSET($D43,0,$C43)+IF($C43&lt;&gt;1,1,COUNTIF(QCI!$A$13:$A$24,ORÇAMENTO!E43)),OFFSET($D43,1,$C43,ROW($C$59)-ROW($C43)),0))</f>
        <v>0</v>
      </c>
      <c r="L43" s="204" t="str">
        <f aca="false">IF(OR($X43&gt;0,$C43=1,$C43=2,$C43=3,$C43=4),"F","")</f>
        <v/>
      </c>
      <c r="M43" s="205" t="s">
        <v>767</v>
      </c>
      <c r="N43" s="206" t="str">
        <f aca="false">CHOOSE(1+LOG(1+2*(C43=1)+4*(C43=2)+8*(C43=3)+16*(C43=4)+32*(C43="S"),2),"","Meta","Nível 2","Nível 3","Nível 4","Serviço")</f>
        <v>Serviço</v>
      </c>
      <c r="O43" s="207" t="str">
        <f aca="false">IF(OR($C43=0,$L43=""),"-",CONCATENATE(E43&amp;".",IF(AND($A$5&gt;=2,$C43&gt;=2),F43&amp;".",""),IF(AND($A$5&gt;=3,$C43&gt;=3),G43&amp;".",""),IF(AND($A$5&gt;=4,$C43&gt;=4),H43&amp;".",""),IF($C43="S",I43&amp;".","")))</f>
        <v>-</v>
      </c>
      <c r="P43" s="208" t="s">
        <v>772</v>
      </c>
      <c r="Q43" s="241" t="s">
        <v>851</v>
      </c>
      <c r="R43" s="210" t="str">
        <f aca="true" t="array" ref="R43:R43">IF($C43="S",REFERENCIA.Descricao,"(digite a descrição aqui)")</f>
        <v>(Código não identificado nas referências)</v>
      </c>
      <c r="S43" s="211" t="str">
        <f aca="true" t="array" ref="S43:S43">REFERENCIA.Unidade</f>
        <v>-</v>
      </c>
      <c r="T43" s="212" t="n">
        <f aca="true">OFFSET(CÁLCULO!H$15,ROW($T43)-ROW(T$15),0)</f>
        <v>20</v>
      </c>
      <c r="U43" s="213" t="n">
        <f aca="false">AG43</f>
        <v>0</v>
      </c>
      <c r="V43" s="214" t="s">
        <v>723</v>
      </c>
      <c r="W43" s="212" t="n">
        <f aca="false" t="array" ref="W43:W43">IF($C43="S",ROUND(IF(TIPOORCAMENTO="Proposto",ORÇAMENTO.CustoUnitario*(1+$AH43),ORÇAMENTO.PrecoUnitarioLicitado),15-13*$AF$10),0)</f>
        <v>0</v>
      </c>
      <c r="X43" s="215" t="n">
        <f aca="true" t="array" ref="X43:X43">IF($C43="S",IF(OR(Import.TipoArredondamento&lt;&gt;"TransfereGOV",ACOMPANHAMENTO="BM"),VTOTAL1,SUM(OFFSET(CÁLCULO!$AA$15,ROW($X43)-ROW($X$15),1):OFFSET(CÁLCULO!$AL$15,ROW($X43)-ROW($X$15),-1))),IF($C43=0,0,ROUND(SomaAgrup,15-13*$AF$11)))</f>
        <v>0</v>
      </c>
      <c r="Y43" s="216" t="s">
        <v>776</v>
      </c>
      <c r="Z43" s="0" t="str">
        <f aca="false">IF(AND($C43="S",$X43&gt;0),IF(ISBLANK($Y43),"RA",LEFT($Y43,2)),"")</f>
        <v/>
      </c>
      <c r="AA43" s="217" t="n">
        <f aca="true" t="array" ref="AA43:AA43">IF($C43="S",IF($Z43="CP",$X43,IF($Z43="RA",(($X43)*QCI!$AA$3),0)),SomaAgrup)</f>
        <v>0</v>
      </c>
      <c r="AB43" s="218" t="n">
        <f aca="true" t="array" ref="AB43:AB43">IF($C43="S",IF($Z43="OU",ROUND($X43,2),0),SomaAgrup)</f>
        <v>0</v>
      </c>
      <c r="AC43" s="219" t="str">
        <f aca="false" t="array" ref="AC43:AC43">IF($N43=""," ",
IF(AND($C43&lt;&gt;"S",OR($R43="",$R43="(digite a descrição aqui)")),"DESCRIÇÃO",
IF(AND($C43="S",OR($Q43&lt;&gt;"",$T43&gt;0,$U43&gt;0),$P43=""),"FONTE",
IF(AND($C43="S",$P43&lt;&gt;"",OR($T43&gt;0,$U43&gt;0),$Q43=""),"CÓDIGO",
IF(AND($C43="S",$P43&lt;&gt;"",$Q43&lt;&gt;"",$R43="(Código não identificado nas referências)"),"CÓDIGO N/ID",
IF(AND($C43="S",OR($R43="",$R43="(digite a descrição aqui)"),OR($Q43&lt;&gt;"",$T43&gt;0,$U43&gt;0)),"DESCRIÇÃO",
IF(AND($C43="S",$P43&lt;&gt;"",$Q43&lt;&gt;"",$S43=""),"UNIDADE",
IF(AND($C43="S",$P43&lt;&gt;"",$Q43&lt;&gt;"",$U43=0),"SEM CUSTO",
IF(AND(TIPOORCAMENTO="Licitado",$AL43=0,$AN43&gt;0),"SEM PREÇO",
IF(AND($C43="S",$P43&lt;&gt;"",$Q43&lt;&gt;"",$U43&gt;0,AND($V43&lt;&gt;"BDI 1",$V43&lt;&gt;"BDI 2",$V43&lt;&gt;"BDI 3")),IF(ISNUMBER($V43),"JUSTIFICAR BDI","BDI"),
IF(OR(AND(import.recurso="OGU",TIPOORCAMENTO="Proposto",LEFT($O$8,5)&lt;&gt;"(N/D:",$AG43&lt;&gt;"",ORÇAMENTO.CustoUnitario&gt;$AG43),AND(TIPOORCAMENTO="LICITADO",ORÇAMENTO.PrecoUnitarioLicitado&gt;$AN43)),"ACIMA REF.",
IF(AND($C43="S",$P43&lt;&gt;"",$Q43&lt;&gt;"",$T43=0,$U43&gt;0),"QUANT.",
IF(AND(Import.TipoArredondamento="TransfereGOV",$L43="F",$C43="S",LEN($Q43)&gt;13),"Código &gt;13",
IF(AND(Import.TipoArredondamento="TransfereGOV",$L43="F",$C43&lt;&gt;"S",LEN($R43)&gt;100),"Descrição &gt;100",
IF(AND(Import.TipoArredondamento="TransfereGOV",$L43="F",$C43="S",LEN($R43)&gt;500),"Descrição &gt;500",
IF(AND(Import.TipoArredondamento="TransfereGOV",$L43="F",$C43="S",LEFT(TRIM(UPPER($P43)),6)&lt;&gt;"SINAPI",ISNA(VLOOKUP(TRIM(UPPER($S43)),ListaTgov.Unidades,1,FALSE()))),"Unid. Não Disp",
" "))))))))))))))))</f>
        <v>CÓDIGO N/ID</v>
      </c>
      <c r="AD43" s="0" t="str">
        <f aca="true">IF(C43&lt;=CRONO.NivelExibicao,MAX($AD$15:OFFSET(AD43,-1,0))+IF($C43&lt;&gt;1,1,MAX(1,COUNTIF(QCI!$A$13:$A$24,OFFSET($E43,-1,0)))),"")</f>
        <v/>
      </c>
      <c r="AE43" s="48" t="str">
        <f aca="false" t="array" ref="AE43:AE43">IF(AND($C43="S",ORÇAMENTO.CodBarra&lt;&gt;""),IF(ORÇAMENTO.Fonte="",ORÇAMENTO.CodBarra,CONCATENATE(ORÇAMENTO.Fonte," ",ORÇAMENTO.CodBarra)))</f>
        <v>Cotação 2</v>
      </c>
      <c r="AF43" s="63" t="str">
        <f aca="true" t="array" ref="AF43:AF43">IF(ISERROR(ORÇAMENTO.BancoRef),"(abra o arquivo 'Referência "&amp;Excel_BuiltIn_Database&amp;".xlsm)",IF(OR($C43&lt;&gt;"S",ORÇAMENTO.CodBarra=""),"(Sem Código)",IF(ISERROR(MATCH($AE43,INDIRECT(ORÇAMENTO.BancoRef),0)),"(Código não identificado nas referências)",MATCH($AE43,INDIRECT(ORÇAMENTO.BancoRef),0))))</f>
        <v>(Código não identificado nas referências)</v>
      </c>
      <c r="AG43" s="220" t="n">
        <f aca="true" t="array" ref="AG43:AG43">ROUND(IF(DESONERACAO="sim",REFERENCIA.Desonerado,REFERENCIA.NaoDesonerado),2)</f>
        <v>0</v>
      </c>
      <c r="AH43" s="221" t="n">
        <f aca="false">ROUND(IF(ISNUMBER(ORÇAMENTO.OpcaoBDI),ORÇAMENTO.OpcaoBDI,IF(LEFT(ORÇAMENTO.OpcaoBDI,3)="BDI",HLOOKUP(ORÇAMENTO.OpcaoBDI,$F$4:$H$5,2,FALSE()),0)),15-11*$AF$9)</f>
        <v>0.25</v>
      </c>
      <c r="AJ43" s="222" t="n">
        <v>20</v>
      </c>
      <c r="AL43" s="223"/>
      <c r="AM43" s="224" t="n">
        <f aca="false">$X43</f>
        <v>0</v>
      </c>
      <c r="AN43" s="225" t="n">
        <f aca="false" t="array" ref="AN43:AN43">ROUND(ORÇAMENTO.CustoUnitario*(1+$AH43),2)</f>
        <v>0</v>
      </c>
    </row>
    <row r="44" customFormat="false" ht="12.75" hidden="false" customHeight="false" outlineLevel="0" collapsed="false">
      <c r="A44" s="0" t="str">
        <f aca="false">CHOOSE(1+LOG(1+2*(ORÇAMENTO.Nivel="Meta")+4*(ORÇAMENTO.Nivel="Nível 2")+8*(ORÇAMENTO.Nivel="Nível 3")+16*(ORÇAMENTO.Nivel="Nível 4")+32*(ORÇAMENTO.Nivel="Serviço"),2),0,1,2,3,4,"S")</f>
        <v>S</v>
      </c>
      <c r="B44" s="0" t="n">
        <f aca="true">IF(OR(C44="s",C44=0),OFFSET(B44,-1,0),C44)</f>
        <v>2</v>
      </c>
      <c r="C44" s="0" t="str">
        <f aca="true">IF(OFFSET(C44,-1,0)="L",1,IF(OFFSET(C44,-1,0)=1,2,IF(OR(A44="s",A44=0),"S",IF(AND(OFFSET(C44,-1,0)=2,A44=4),3,IF(AND(OR(OFFSET(C44,-1,0)="s",OFFSET(C44,-1,0)=0),A44&lt;&gt;"s",A44&gt;OFFSET(B44,-1,0)),OFFSET(B44,-1,0),A44)))))</f>
        <v>S</v>
      </c>
      <c r="D44" s="0" t="n">
        <f aca="false">IF(OR(C44="S",C44=0),0,IF(ISERROR(K44),J44,SMALL(J44:K44,1)))</f>
        <v>0</v>
      </c>
      <c r="E44" s="0" t="n">
        <f aca="true">IF($C44=1,OFFSET(E44,-1,0)+MAX(1,COUNTIF(QCI!$A$13:$A$24,OFFSET(ORÇAMENTO!E44,-1,0))),OFFSET(E44,-1,0))</f>
        <v>1</v>
      </c>
      <c r="F44" s="0" t="n">
        <f aca="true">IF($C44=1,0,IF($C44=2,OFFSET(F44,-1,0)+1,OFFSET(F44,-1,0)))</f>
        <v>8</v>
      </c>
      <c r="G44" s="0" t="n">
        <f aca="true">IF(AND($C44&lt;=2,$C44&lt;&gt;0),0,IF($C44=3,OFFSET(G44,-1,0)+1,OFFSET(G44,-1,0)))</f>
        <v>0</v>
      </c>
      <c r="H44" s="0" t="n">
        <f aca="true">IF(AND($C44&lt;=3,$C44&lt;&gt;0),0,IF($C44=4,OFFSET(H44,-1,0)+1,OFFSET(H44,-1,0)))</f>
        <v>0</v>
      </c>
      <c r="I44" s="0" t="n">
        <f aca="true">IF(AND($C44&lt;=4,$C44&lt;&gt;0),0,IF(AND($C44="S",$X44&gt;0),OFFSET(I44,-1,0)+1,OFFSET(I44,-1,0)))</f>
        <v>0</v>
      </c>
      <c r="J44" s="0" t="n">
        <f aca="true">IF(OR($C44="S",$C44=0),0,MATCH(0,OFFSET($D44,1,$C44,ROW($C$59)-ROW($C44)),0))</f>
        <v>0</v>
      </c>
      <c r="K44" s="0" t="n">
        <f aca="true">IF(OR($C44="S",$C44=0),0,MATCH(OFFSET($D44,0,$C44)+IF($C44&lt;&gt;1,1,COUNTIF(QCI!$A$13:$A$24,ORÇAMENTO!E44)),OFFSET($D44,1,$C44,ROW($C$59)-ROW($C44)),0))</f>
        <v>0</v>
      </c>
      <c r="L44" s="204" t="str">
        <f aca="false">IF(OR($X44&gt;0,$C44=1,$C44=2,$C44=3,$C44=4),"F","")</f>
        <v/>
      </c>
      <c r="M44" s="205" t="s">
        <v>767</v>
      </c>
      <c r="N44" s="206" t="str">
        <f aca="false">CHOOSE(1+LOG(1+2*(C44=1)+4*(C44=2)+8*(C44=3)+16*(C44=4)+32*(C44="S"),2),"","Meta","Nível 2","Nível 3","Nível 4","Serviço")</f>
        <v>Serviço</v>
      </c>
      <c r="O44" s="207" t="str">
        <f aca="false">IF(OR($C44=0,$L44=""),"-",CONCATENATE(E44&amp;".",IF(AND($A$5&gt;=2,$C44&gt;=2),F44&amp;".",""),IF(AND($A$5&gt;=3,$C44&gt;=3),G44&amp;".",""),IF(AND($A$5&gt;=4,$C44&gt;=4),H44&amp;".",""),IF($C44="S",I44&amp;".","")))</f>
        <v>-</v>
      </c>
      <c r="P44" s="208" t="s">
        <v>771</v>
      </c>
      <c r="Q44" s="241" t="s">
        <v>852</v>
      </c>
      <c r="R44" s="210" t="str">
        <f aca="true" t="array" ref="R44:R44">IF($C44="S",REFERENCIA.Descricao,"(digite a descrição aqui)")</f>
        <v>(Código não identificado nas referências)</v>
      </c>
      <c r="S44" s="211" t="str">
        <f aca="true" t="array" ref="S44:S44">REFERENCIA.Unidade</f>
        <v>-</v>
      </c>
      <c r="T44" s="212" t="n">
        <f aca="true">OFFSET(CÁLCULO!H$15,ROW($T44)-ROW(T$15),0)</f>
        <v>24</v>
      </c>
      <c r="U44" s="213" t="n">
        <f aca="false">AG44</f>
        <v>0</v>
      </c>
      <c r="V44" s="214" t="s">
        <v>723</v>
      </c>
      <c r="W44" s="212" t="n">
        <f aca="false" t="array" ref="W44:W44">IF($C44="S",ROUND(IF(TIPOORCAMENTO="Proposto",ORÇAMENTO.CustoUnitario*(1+$AH44),ORÇAMENTO.PrecoUnitarioLicitado),15-13*$AF$10),0)</f>
        <v>0</v>
      </c>
      <c r="X44" s="215" t="n">
        <f aca="true" t="array" ref="X44:X44">IF($C44="S",IF(OR(Import.TipoArredondamento&lt;&gt;"TransfereGOV",ACOMPANHAMENTO="BM"),VTOTAL1,SUM(OFFSET(CÁLCULO!$AA$15,ROW($X44)-ROW($X$15),1):OFFSET(CÁLCULO!$AL$15,ROW($X44)-ROW($X$15),-1))),IF($C44=0,0,ROUND(SomaAgrup,15-13*$AF$11)))</f>
        <v>0</v>
      </c>
      <c r="Y44" s="216" t="s">
        <v>776</v>
      </c>
      <c r="Z44" s="0" t="str">
        <f aca="false">IF(AND($C44="S",$X44&gt;0),IF(ISBLANK($Y44),"RA",LEFT($Y44,2)),"")</f>
        <v/>
      </c>
      <c r="AA44" s="217" t="n">
        <f aca="true" t="array" ref="AA44:AA44">IF($C44="S",IF($Z44="CP",$X44,IF($Z44="RA",(($X44)*QCI!$AA$3),0)),SomaAgrup)</f>
        <v>0</v>
      </c>
      <c r="AB44" s="218" t="n">
        <f aca="true" t="array" ref="AB44:AB44">IF($C44="S",IF($Z44="OU",ROUND($X44,2),0),SomaAgrup)</f>
        <v>0</v>
      </c>
      <c r="AC44" s="219" t="str">
        <f aca="false" t="array" ref="AC44:AC44">IF($N44=""," ",
IF(AND($C44&lt;&gt;"S",OR($R44="",$R44="(digite a descrição aqui)")),"DESCRIÇÃO",
IF(AND($C44="S",OR($Q44&lt;&gt;"",$T44&gt;0,$U44&gt;0),$P44=""),"FONTE",
IF(AND($C44="S",$P44&lt;&gt;"",OR($T44&gt;0,$U44&gt;0),$Q44=""),"CÓDIGO",
IF(AND($C44="S",$P44&lt;&gt;"",$Q44&lt;&gt;"",$R44="(Código não identificado nas referências)"),"CÓDIGO N/ID",
IF(AND($C44="S",OR($R44="",$R44="(digite a descrição aqui)"),OR($Q44&lt;&gt;"",$T44&gt;0,$U44&gt;0)),"DESCRIÇÃO",
IF(AND($C44="S",$P44&lt;&gt;"",$Q44&lt;&gt;"",$S44=""),"UNIDADE",
IF(AND($C44="S",$P44&lt;&gt;"",$Q44&lt;&gt;"",$U44=0),"SEM CUSTO",
IF(AND(TIPOORCAMENTO="Licitado",$AL44=0,$AN44&gt;0),"SEM PREÇO",
IF(AND($C44="S",$P44&lt;&gt;"",$Q44&lt;&gt;"",$U44&gt;0,AND($V44&lt;&gt;"BDI 1",$V44&lt;&gt;"BDI 2",$V44&lt;&gt;"BDI 3")),IF(ISNUMBER($V44),"JUSTIFICAR BDI","BDI"),
IF(OR(AND(import.recurso="OGU",TIPOORCAMENTO="Proposto",LEFT($O$8,5)&lt;&gt;"(N/D:",$AG44&lt;&gt;"",ORÇAMENTO.CustoUnitario&gt;$AG44),AND(TIPOORCAMENTO="LICITADO",ORÇAMENTO.PrecoUnitarioLicitado&gt;$AN44)),"ACIMA REF.",
IF(AND($C44="S",$P44&lt;&gt;"",$Q44&lt;&gt;"",$T44=0,$U44&gt;0),"QUANT.",
IF(AND(Import.TipoArredondamento="TransfereGOV",$L44="F",$C44="S",LEN($Q44)&gt;13),"Código &gt;13",
IF(AND(Import.TipoArredondamento="TransfereGOV",$L44="F",$C44&lt;&gt;"S",LEN($R44)&gt;100),"Descrição &gt;100",
IF(AND(Import.TipoArredondamento="TransfereGOV",$L44="F",$C44="S",LEN($R44)&gt;500),"Descrição &gt;500",
IF(AND(Import.TipoArredondamento="TransfereGOV",$L44="F",$C44="S",LEFT(TRIM(UPPER($P44)),6)&lt;&gt;"SINAPI",ISNA(VLOOKUP(TRIM(UPPER($S44)),ListaTgov.Unidades,1,FALSE()))),"Unid. Não Disp",
" "))))))))))))))))</f>
        <v>CÓDIGO N/ID</v>
      </c>
      <c r="AD44" s="0" t="str">
        <f aca="true">IF(C44&lt;=CRONO.NivelExibicao,MAX($AD$15:OFFSET(AD44,-1,0))+IF($C44&lt;&gt;1,1,MAX(1,COUNTIF(QCI!$A$13:$A$24,OFFSET($E44,-1,0)))),"")</f>
        <v/>
      </c>
      <c r="AE44" s="48" t="str">
        <f aca="false" t="array" ref="AE44:AE44">IF(AND($C44="S",ORÇAMENTO.CodBarra&lt;&gt;""),IF(ORÇAMENTO.Fonte="",ORÇAMENTO.CodBarra,CONCATENATE(ORÇAMENTO.Fonte," ",ORÇAMENTO.CodBarra)))</f>
        <v>Composição 10</v>
      </c>
      <c r="AF44" s="63" t="str">
        <f aca="true" t="array" ref="AF44:AF44">IF(ISERROR(ORÇAMENTO.BancoRef),"(abra o arquivo 'Referência "&amp;Excel_BuiltIn_Database&amp;".xlsm)",IF(OR($C44&lt;&gt;"S",ORÇAMENTO.CodBarra=""),"(Sem Código)",IF(ISERROR(MATCH($AE44,INDIRECT(ORÇAMENTO.BancoRef),0)),"(Código não identificado nas referências)",MATCH($AE44,INDIRECT(ORÇAMENTO.BancoRef),0))))</f>
        <v>(Código não identificado nas referências)</v>
      </c>
      <c r="AG44" s="220" t="n">
        <f aca="true" t="array" ref="AG44:AG44">ROUND(IF(DESONERACAO="sim",REFERENCIA.Desonerado,REFERENCIA.NaoDesonerado),2)</f>
        <v>0</v>
      </c>
      <c r="AH44" s="221" t="n">
        <f aca="false">ROUND(IF(ISNUMBER(ORÇAMENTO.OpcaoBDI),ORÇAMENTO.OpcaoBDI,IF(LEFT(ORÇAMENTO.OpcaoBDI,3)="BDI",HLOOKUP(ORÇAMENTO.OpcaoBDI,$F$4:$H$5,2,FALSE()),0)),15-11*$AF$9)</f>
        <v>0.25</v>
      </c>
      <c r="AJ44" s="222" t="n">
        <v>24</v>
      </c>
      <c r="AL44" s="223"/>
      <c r="AM44" s="224" t="n">
        <f aca="false">$X44</f>
        <v>0</v>
      </c>
      <c r="AN44" s="225" t="n">
        <f aca="false" t="array" ref="AN44:AN44">ROUND(ORÇAMENTO.CustoUnitario*(1+$AH44),2)</f>
        <v>0</v>
      </c>
    </row>
    <row r="45" customFormat="false" ht="12.75" hidden="false" customHeight="false" outlineLevel="0" collapsed="false">
      <c r="A45" s="0" t="str">
        <f aca="false">CHOOSE(1+LOG(1+2*(ORÇAMENTO.Nivel="Meta")+4*(ORÇAMENTO.Nivel="Nível 2")+8*(ORÇAMENTO.Nivel="Nível 3")+16*(ORÇAMENTO.Nivel="Nível 4")+32*(ORÇAMENTO.Nivel="Serviço"),2),0,1,2,3,4,"S")</f>
        <v>S</v>
      </c>
      <c r="B45" s="0" t="n">
        <f aca="true">IF(OR(C45="s",C45=0),OFFSET(B45,-1,0),C45)</f>
        <v>2</v>
      </c>
      <c r="C45" s="0" t="str">
        <f aca="true">IF(OFFSET(C45,-1,0)="L",1,IF(OFFSET(C45,-1,0)=1,2,IF(OR(A45="s",A45=0),"S",IF(AND(OFFSET(C45,-1,0)=2,A45=4),3,IF(AND(OR(OFFSET(C45,-1,0)="s",OFFSET(C45,-1,0)=0),A45&lt;&gt;"s",A45&gt;OFFSET(B45,-1,0)),OFFSET(B45,-1,0),A45)))))</f>
        <v>S</v>
      </c>
      <c r="D45" s="0" t="n">
        <f aca="false">IF(OR(C45="S",C45=0),0,IF(ISERROR(K45),J45,SMALL(J45:K45,1)))</f>
        <v>0</v>
      </c>
      <c r="E45" s="0" t="n">
        <f aca="true">IF($C45=1,OFFSET(E45,-1,0)+MAX(1,COUNTIF(QCI!$A$13:$A$24,OFFSET(ORÇAMENTO!E45,-1,0))),OFFSET(E45,-1,0))</f>
        <v>1</v>
      </c>
      <c r="F45" s="0" t="n">
        <f aca="true">IF($C45=1,0,IF($C45=2,OFFSET(F45,-1,0)+1,OFFSET(F45,-1,0)))</f>
        <v>8</v>
      </c>
      <c r="G45" s="0" t="n">
        <f aca="true">IF(AND($C45&lt;=2,$C45&lt;&gt;0),0,IF($C45=3,OFFSET(G45,-1,0)+1,OFFSET(G45,-1,0)))</f>
        <v>0</v>
      </c>
      <c r="H45" s="0" t="n">
        <f aca="true">IF(AND($C45&lt;=3,$C45&lt;&gt;0),0,IF($C45=4,OFFSET(H45,-1,0)+1,OFFSET(H45,-1,0)))</f>
        <v>0</v>
      </c>
      <c r="I45" s="0" t="n">
        <f aca="true">IF(AND($C45&lt;=4,$C45&lt;&gt;0),0,IF(AND($C45="S",$X45&gt;0),OFFSET(I45,-1,0)+1,OFFSET(I45,-1,0)))</f>
        <v>0</v>
      </c>
      <c r="J45" s="0" t="n">
        <f aca="true">IF(OR($C45="S",$C45=0),0,MATCH(0,OFFSET($D45,1,$C45,ROW($C$59)-ROW($C45)),0))</f>
        <v>0</v>
      </c>
      <c r="K45" s="0" t="n">
        <f aca="true">IF(OR($C45="S",$C45=0),0,MATCH(OFFSET($D45,0,$C45)+IF($C45&lt;&gt;1,1,COUNTIF(QCI!$A$13:$A$24,ORÇAMENTO!E45)),OFFSET($D45,1,$C45,ROW($C$59)-ROW($C45)),0))</f>
        <v>0</v>
      </c>
      <c r="L45" s="204" t="str">
        <f aca="false">IF(OR($X45&gt;0,$C45=1,$C45=2,$C45=3,$C45=4),"F","")</f>
        <v/>
      </c>
      <c r="M45" s="205" t="s">
        <v>767</v>
      </c>
      <c r="N45" s="206" t="str">
        <f aca="false">CHOOSE(1+LOG(1+2*(C45=1)+4*(C45=2)+8*(C45=3)+16*(C45=4)+32*(C45="S"),2),"","Meta","Nível 2","Nível 3","Nível 4","Serviço")</f>
        <v>Serviço</v>
      </c>
      <c r="O45" s="207" t="str">
        <f aca="false">IF(OR($C45=0,$L45=""),"-",CONCATENATE(E45&amp;".",IF(AND($A$5&gt;=2,$C45&gt;=2),F45&amp;".",""),IF(AND($A$5&gt;=3,$C45&gt;=3),G45&amp;".",""),IF(AND($A$5&gt;=4,$C45&gt;=4),H45&amp;".",""),IF($C45="S",I45&amp;".","")))</f>
        <v>-</v>
      </c>
      <c r="P45" s="208" t="s">
        <v>772</v>
      </c>
      <c r="Q45" s="241" t="s">
        <v>853</v>
      </c>
      <c r="R45" s="210" t="str">
        <f aca="true" t="array" ref="R45:R45">IF($C45="S",REFERENCIA.Descricao,"(digite a descrição aqui)")</f>
        <v>(Código não identificado nas referências)</v>
      </c>
      <c r="S45" s="211" t="str">
        <f aca="true" t="array" ref="S45:S45">REFERENCIA.Unidade</f>
        <v>-</v>
      </c>
      <c r="T45" s="212" t="n">
        <f aca="true">OFFSET(CÁLCULO!H$15,ROW($T45)-ROW(T$15),0)</f>
        <v>261</v>
      </c>
      <c r="U45" s="213" t="n">
        <f aca="false">AG45</f>
        <v>0</v>
      </c>
      <c r="V45" s="214" t="s">
        <v>723</v>
      </c>
      <c r="W45" s="212" t="n">
        <f aca="false" t="array" ref="W45:W45">IF($C45="S",ROUND(IF(TIPOORCAMENTO="Proposto",ORÇAMENTO.CustoUnitario*(1+$AH45),ORÇAMENTO.PrecoUnitarioLicitado),15-13*$AF$10),0)</f>
        <v>0</v>
      </c>
      <c r="X45" s="215" t="n">
        <f aca="true" t="array" ref="X45:X45">IF($C45="S",IF(OR(Import.TipoArredondamento&lt;&gt;"TransfereGOV",ACOMPANHAMENTO="BM"),VTOTAL1,SUM(OFFSET(CÁLCULO!$AA$15,ROW($X45)-ROW($X$15),1):OFFSET(CÁLCULO!$AL$15,ROW($X45)-ROW($X$15),-1))),IF($C45=0,0,ROUND(SomaAgrup,15-13*$AF$11)))</f>
        <v>0</v>
      </c>
      <c r="Y45" s="216" t="s">
        <v>776</v>
      </c>
      <c r="Z45" s="0" t="str">
        <f aca="false">IF(AND($C45="S",$X45&gt;0),IF(ISBLANK($Y45),"RA",LEFT($Y45,2)),"")</f>
        <v/>
      </c>
      <c r="AA45" s="217" t="n">
        <f aca="true" t="array" ref="AA45:AA45">IF($C45="S",IF($Z45="CP",$X45,IF($Z45="RA",(($X45)*QCI!$AA$3),0)),SomaAgrup)</f>
        <v>0</v>
      </c>
      <c r="AB45" s="218" t="n">
        <f aca="true" t="array" ref="AB45:AB45">IF($C45="S",IF($Z45="OU",ROUND($X45,2),0),SomaAgrup)</f>
        <v>0</v>
      </c>
      <c r="AC45" s="219" t="str">
        <f aca="false" t="array" ref="AC45:AC45">IF($N45=""," ",
IF(AND($C45&lt;&gt;"S",OR($R45="",$R45="(digite a descrição aqui)")),"DESCRIÇÃO",
IF(AND($C45="S",OR($Q45&lt;&gt;"",$T45&gt;0,$U45&gt;0),$P45=""),"FONTE",
IF(AND($C45="S",$P45&lt;&gt;"",OR($T45&gt;0,$U45&gt;0),$Q45=""),"CÓDIGO",
IF(AND($C45="S",$P45&lt;&gt;"",$Q45&lt;&gt;"",$R45="(Código não identificado nas referências)"),"CÓDIGO N/ID",
IF(AND($C45="S",OR($R45="",$R45="(digite a descrição aqui)"),OR($Q45&lt;&gt;"",$T45&gt;0,$U45&gt;0)),"DESCRIÇÃO",
IF(AND($C45="S",$P45&lt;&gt;"",$Q45&lt;&gt;"",$S45=""),"UNIDADE",
IF(AND($C45="S",$P45&lt;&gt;"",$Q45&lt;&gt;"",$U45=0),"SEM CUSTO",
IF(AND(TIPOORCAMENTO="Licitado",$AL45=0,$AN45&gt;0),"SEM PREÇO",
IF(AND($C45="S",$P45&lt;&gt;"",$Q45&lt;&gt;"",$U45&gt;0,AND($V45&lt;&gt;"BDI 1",$V45&lt;&gt;"BDI 2",$V45&lt;&gt;"BDI 3")),IF(ISNUMBER($V45),"JUSTIFICAR BDI","BDI"),
IF(OR(AND(import.recurso="OGU",TIPOORCAMENTO="Proposto",LEFT($O$8,5)&lt;&gt;"(N/D:",$AG45&lt;&gt;"",ORÇAMENTO.CustoUnitario&gt;$AG45),AND(TIPOORCAMENTO="LICITADO",ORÇAMENTO.PrecoUnitarioLicitado&gt;$AN45)),"ACIMA REF.",
IF(AND($C45="S",$P45&lt;&gt;"",$Q45&lt;&gt;"",$T45=0,$U45&gt;0),"QUANT.",
IF(AND(Import.TipoArredondamento="TransfereGOV",$L45="F",$C45="S",LEN($Q45)&gt;13),"Código &gt;13",
IF(AND(Import.TipoArredondamento="TransfereGOV",$L45="F",$C45&lt;&gt;"S",LEN($R45)&gt;100),"Descrição &gt;100",
IF(AND(Import.TipoArredondamento="TransfereGOV",$L45="F",$C45="S",LEN($R45)&gt;500),"Descrição &gt;500",
IF(AND(Import.TipoArredondamento="TransfereGOV",$L45="F",$C45="S",LEFT(TRIM(UPPER($P45)),6)&lt;&gt;"SINAPI",ISNA(VLOOKUP(TRIM(UPPER($S45)),ListaTgov.Unidades,1,FALSE()))),"Unid. Não Disp",
" "))))))))))))))))</f>
        <v>CÓDIGO N/ID</v>
      </c>
      <c r="AD45" s="0" t="str">
        <f aca="true">IF(C45&lt;=CRONO.NivelExibicao,MAX($AD$15:OFFSET(AD45,-1,0))+IF($C45&lt;&gt;1,1,MAX(1,COUNTIF(QCI!$A$13:$A$24,OFFSET($E45,-1,0)))),"")</f>
        <v/>
      </c>
      <c r="AE45" s="48" t="str">
        <f aca="false" t="array" ref="AE45:AE45">IF(AND($C45="S",ORÇAMENTO.CodBarra&lt;&gt;""),IF(ORÇAMENTO.Fonte="",ORÇAMENTO.CodBarra,CONCATENATE(ORÇAMENTO.Fonte," ",ORÇAMENTO.CodBarra)))</f>
        <v>Cotação 1</v>
      </c>
      <c r="AF45" s="63" t="str">
        <f aca="true" t="array" ref="AF45:AF45">IF(ISERROR(ORÇAMENTO.BancoRef),"(abra o arquivo 'Referência "&amp;Excel_BuiltIn_Database&amp;".xlsm)",IF(OR($C45&lt;&gt;"S",ORÇAMENTO.CodBarra=""),"(Sem Código)",IF(ISERROR(MATCH($AE45,INDIRECT(ORÇAMENTO.BancoRef),0)),"(Código não identificado nas referências)",MATCH($AE45,INDIRECT(ORÇAMENTO.BancoRef),0))))</f>
        <v>(Código não identificado nas referências)</v>
      </c>
      <c r="AG45" s="220" t="n">
        <f aca="true" t="array" ref="AG45:AG45">ROUND(IF(DESONERACAO="sim",REFERENCIA.Desonerado,REFERENCIA.NaoDesonerado),2)</f>
        <v>0</v>
      </c>
      <c r="AH45" s="221" t="n">
        <f aca="false">ROUND(IF(ISNUMBER(ORÇAMENTO.OpcaoBDI),ORÇAMENTO.OpcaoBDI,IF(LEFT(ORÇAMENTO.OpcaoBDI,3)="BDI",HLOOKUP(ORÇAMENTO.OpcaoBDI,$F$4:$H$5,2,FALSE()),0)),15-11*$AF$9)</f>
        <v>0.25</v>
      </c>
      <c r="AJ45" s="222" t="n">
        <v>261</v>
      </c>
      <c r="AL45" s="223"/>
      <c r="AM45" s="224" t="n">
        <f aca="false">$X45</f>
        <v>0</v>
      </c>
      <c r="AN45" s="225" t="n">
        <f aca="false" t="array" ref="AN45:AN45">ROUND(ORÇAMENTO.CustoUnitario*(1+$AH45),2)</f>
        <v>0</v>
      </c>
    </row>
    <row r="46" customFormat="false" ht="12.75" hidden="false" customHeight="false" outlineLevel="0" collapsed="false">
      <c r="A46" s="0" t="str">
        <f aca="false">CHOOSE(1+LOG(1+2*(ORÇAMENTO.Nivel="Meta")+4*(ORÇAMENTO.Nivel="Nível 2")+8*(ORÇAMENTO.Nivel="Nível 3")+16*(ORÇAMENTO.Nivel="Nível 4")+32*(ORÇAMENTO.Nivel="Serviço"),2),0,1,2,3,4,"S")</f>
        <v>S</v>
      </c>
      <c r="B46" s="0" t="n">
        <f aca="true">IF(OR(C46="s",C46=0),OFFSET(B46,-1,0),C46)</f>
        <v>2</v>
      </c>
      <c r="C46" s="0" t="str">
        <f aca="true">IF(OFFSET(C46,-1,0)="L",1,IF(OFFSET(C46,-1,0)=1,2,IF(OR(A46="s",A46=0),"S",IF(AND(OFFSET(C46,-1,0)=2,A46=4),3,IF(AND(OR(OFFSET(C46,-1,0)="s",OFFSET(C46,-1,0)=0),A46&lt;&gt;"s",A46&gt;OFFSET(B46,-1,0)),OFFSET(B46,-1,0),A46)))))</f>
        <v>S</v>
      </c>
      <c r="D46" s="0" t="n">
        <f aca="false">IF(OR(C46="S",C46=0),0,IF(ISERROR(K46),J46,SMALL(J46:K46,1)))</f>
        <v>0</v>
      </c>
      <c r="E46" s="0" t="n">
        <f aca="true">IF($C46=1,OFFSET(E46,-1,0)+MAX(1,COUNTIF(QCI!$A$13:$A$24,OFFSET(ORÇAMENTO!E46,-1,0))),OFFSET(E46,-1,0))</f>
        <v>1</v>
      </c>
      <c r="F46" s="0" t="n">
        <f aca="true">IF($C46=1,0,IF($C46=2,OFFSET(F46,-1,0)+1,OFFSET(F46,-1,0)))</f>
        <v>8</v>
      </c>
      <c r="G46" s="0" t="n">
        <f aca="true">IF(AND($C46&lt;=2,$C46&lt;&gt;0),0,IF($C46=3,OFFSET(G46,-1,0)+1,OFFSET(G46,-1,0)))</f>
        <v>0</v>
      </c>
      <c r="H46" s="0" t="n">
        <f aca="true">IF(AND($C46&lt;=3,$C46&lt;&gt;0),0,IF($C46=4,OFFSET(H46,-1,0)+1,OFFSET(H46,-1,0)))</f>
        <v>0</v>
      </c>
      <c r="I46" s="0" t="n">
        <f aca="true">IF(AND($C46&lt;=4,$C46&lt;&gt;0),0,IF(AND($C46="S",$X46&gt;0),OFFSET(I46,-1,0)+1,OFFSET(I46,-1,0)))</f>
        <v>0</v>
      </c>
      <c r="J46" s="0" t="n">
        <f aca="true">IF(OR($C46="S",$C46=0),0,MATCH(0,OFFSET($D46,1,$C46,ROW($C$59)-ROW($C46)),0))</f>
        <v>0</v>
      </c>
      <c r="K46" s="0" t="n">
        <f aca="true">IF(OR($C46="S",$C46=0),0,MATCH(OFFSET($D46,0,$C46)+IF($C46&lt;&gt;1,1,COUNTIF(QCI!$A$13:$A$24,ORÇAMENTO!E46)),OFFSET($D46,1,$C46,ROW($C$59)-ROW($C46)),0))</f>
        <v>0</v>
      </c>
      <c r="L46" s="204" t="str">
        <f aca="false">IF(OR($X46&gt;0,$C46=1,$C46=2,$C46=3,$C46=4),"F","")</f>
        <v/>
      </c>
      <c r="M46" s="205" t="s">
        <v>767</v>
      </c>
      <c r="N46" s="206" t="str">
        <f aca="false">CHOOSE(1+LOG(1+2*(C46=1)+4*(C46=2)+8*(C46=3)+16*(C46=4)+32*(C46="S"),2),"","Meta","Nível 2","Nível 3","Nível 4","Serviço")</f>
        <v>Serviço</v>
      </c>
      <c r="O46" s="207" t="str">
        <f aca="false">IF(OR($C46=0,$L46=""),"-",CONCATENATE(E46&amp;".",IF(AND($A$5&gt;=2,$C46&gt;=2),F46&amp;".",""),IF(AND($A$5&gt;=3,$C46&gt;=3),G46&amp;".",""),IF(AND($A$5&gt;=4,$C46&gt;=4),H46&amp;".",""),IF($C46="S",I46&amp;".","")))</f>
        <v>-</v>
      </c>
      <c r="P46" s="208" t="s">
        <v>771</v>
      </c>
      <c r="Q46" s="241" t="s">
        <v>854</v>
      </c>
      <c r="R46" s="210" t="str">
        <f aca="true" t="array" ref="R46:R46">IF($C46="S",REFERENCIA.Descricao,"(digite a descrição aqui)")</f>
        <v>(Código não identificado nas referências)</v>
      </c>
      <c r="S46" s="211" t="str">
        <f aca="true" t="array" ref="S46:S46">REFERENCIA.Unidade</f>
        <v>-</v>
      </c>
      <c r="T46" s="212" t="n">
        <f aca="true">OFFSET(CÁLCULO!H$15,ROW($T46)-ROW(T$15),0)</f>
        <v>4</v>
      </c>
      <c r="U46" s="213" t="n">
        <f aca="false">AG46</f>
        <v>0</v>
      </c>
      <c r="V46" s="214" t="s">
        <v>723</v>
      </c>
      <c r="W46" s="212" t="n">
        <f aca="false" t="array" ref="W46:W46">IF($C46="S",ROUND(IF(TIPOORCAMENTO="Proposto",ORÇAMENTO.CustoUnitario*(1+$AH46),ORÇAMENTO.PrecoUnitarioLicitado),15-13*$AF$10),0)</f>
        <v>0</v>
      </c>
      <c r="X46" s="215" t="n">
        <f aca="true" t="array" ref="X46:X46">IF($C46="S",IF(OR(Import.TipoArredondamento&lt;&gt;"TransfereGOV",ACOMPANHAMENTO="BM"),VTOTAL1,SUM(OFFSET(CÁLCULO!$AA$15,ROW($X46)-ROW($X$15),1):OFFSET(CÁLCULO!$AL$15,ROW($X46)-ROW($X$15),-1))),IF($C46=0,0,ROUND(SomaAgrup,15-13*$AF$11)))</f>
        <v>0</v>
      </c>
      <c r="Y46" s="216" t="s">
        <v>776</v>
      </c>
      <c r="Z46" s="0" t="str">
        <f aca="false">IF(AND($C46="S",$X46&gt;0),IF(ISBLANK($Y46),"RA",LEFT($Y46,2)),"")</f>
        <v/>
      </c>
      <c r="AA46" s="217" t="n">
        <f aca="true" t="array" ref="AA46:AA46">IF($C46="S",IF($Z46="CP",$X46,IF($Z46="RA",(($X46)*QCI!$AA$3),0)),SomaAgrup)</f>
        <v>0</v>
      </c>
      <c r="AB46" s="218" t="n">
        <f aca="true" t="array" ref="AB46:AB46">IF($C46="S",IF($Z46="OU",ROUND($X46,2),0),SomaAgrup)</f>
        <v>0</v>
      </c>
      <c r="AC46" s="219" t="str">
        <f aca="false" t="array" ref="AC46:AC46">IF($N46=""," ",
IF(AND($C46&lt;&gt;"S",OR($R46="",$R46="(digite a descrição aqui)")),"DESCRIÇÃO",
IF(AND($C46="S",OR($Q46&lt;&gt;"",$T46&gt;0,$U46&gt;0),$P46=""),"FONTE",
IF(AND($C46="S",$P46&lt;&gt;"",OR($T46&gt;0,$U46&gt;0),$Q46=""),"CÓDIGO",
IF(AND($C46="S",$P46&lt;&gt;"",$Q46&lt;&gt;"",$R46="(Código não identificado nas referências)"),"CÓDIGO N/ID",
IF(AND($C46="S",OR($R46="",$R46="(digite a descrição aqui)"),OR($Q46&lt;&gt;"",$T46&gt;0,$U46&gt;0)),"DESCRIÇÃO",
IF(AND($C46="S",$P46&lt;&gt;"",$Q46&lt;&gt;"",$S46=""),"UNIDADE",
IF(AND($C46="S",$P46&lt;&gt;"",$Q46&lt;&gt;"",$U46=0),"SEM CUSTO",
IF(AND(TIPOORCAMENTO="Licitado",$AL46=0,$AN46&gt;0),"SEM PREÇO",
IF(AND($C46="S",$P46&lt;&gt;"",$Q46&lt;&gt;"",$U46&gt;0,AND($V46&lt;&gt;"BDI 1",$V46&lt;&gt;"BDI 2",$V46&lt;&gt;"BDI 3")),IF(ISNUMBER($V46),"JUSTIFICAR BDI","BDI"),
IF(OR(AND(import.recurso="OGU",TIPOORCAMENTO="Proposto",LEFT($O$8,5)&lt;&gt;"(N/D:",$AG46&lt;&gt;"",ORÇAMENTO.CustoUnitario&gt;$AG46),AND(TIPOORCAMENTO="LICITADO",ORÇAMENTO.PrecoUnitarioLicitado&gt;$AN46)),"ACIMA REF.",
IF(AND($C46="S",$P46&lt;&gt;"",$Q46&lt;&gt;"",$T46=0,$U46&gt;0),"QUANT.",
IF(AND(Import.TipoArredondamento="TransfereGOV",$L46="F",$C46="S",LEN($Q46)&gt;13),"Código &gt;13",
IF(AND(Import.TipoArredondamento="TransfereGOV",$L46="F",$C46&lt;&gt;"S",LEN($R46)&gt;100),"Descrição &gt;100",
IF(AND(Import.TipoArredondamento="TransfereGOV",$L46="F",$C46="S",LEN($R46)&gt;500),"Descrição &gt;500",
IF(AND(Import.TipoArredondamento="TransfereGOV",$L46="F",$C46="S",LEFT(TRIM(UPPER($P46)),6)&lt;&gt;"SINAPI",ISNA(VLOOKUP(TRIM(UPPER($S46)),ListaTgov.Unidades,1,FALSE()))),"Unid. Não Disp",
" "))))))))))))))))</f>
        <v>CÓDIGO N/ID</v>
      </c>
      <c r="AD46" s="0" t="str">
        <f aca="true">IF(C46&lt;=CRONO.NivelExibicao,MAX($AD$15:OFFSET(AD46,-1,0))+IF($C46&lt;&gt;1,1,MAX(1,COUNTIF(QCI!$A$13:$A$24,OFFSET($E46,-1,0)))),"")</f>
        <v/>
      </c>
      <c r="AE46" s="48" t="str">
        <f aca="false" t="array" ref="AE46:AE46">IF(AND($C46="S",ORÇAMENTO.CodBarra&lt;&gt;""),IF(ORÇAMENTO.Fonte="",ORÇAMENTO.CodBarra,CONCATENATE(ORÇAMENTO.Fonte," ",ORÇAMENTO.CodBarra)))</f>
        <v>Composição 14</v>
      </c>
      <c r="AF46" s="63" t="str">
        <f aca="true" t="array" ref="AF46:AF46">IF(ISERROR(ORÇAMENTO.BancoRef),"(abra o arquivo 'Referência "&amp;Excel_BuiltIn_Database&amp;".xlsm)",IF(OR($C46&lt;&gt;"S",ORÇAMENTO.CodBarra=""),"(Sem Código)",IF(ISERROR(MATCH($AE46,INDIRECT(ORÇAMENTO.BancoRef),0)),"(Código não identificado nas referências)",MATCH($AE46,INDIRECT(ORÇAMENTO.BancoRef),0))))</f>
        <v>(Código não identificado nas referências)</v>
      </c>
      <c r="AG46" s="220" t="n">
        <f aca="true" t="array" ref="AG46:AG46">ROUND(IF(DESONERACAO="sim",REFERENCIA.Desonerado,REFERENCIA.NaoDesonerado),2)</f>
        <v>0</v>
      </c>
      <c r="AH46" s="221" t="n">
        <f aca="false">ROUND(IF(ISNUMBER(ORÇAMENTO.OpcaoBDI),ORÇAMENTO.OpcaoBDI,IF(LEFT(ORÇAMENTO.OpcaoBDI,3)="BDI",HLOOKUP(ORÇAMENTO.OpcaoBDI,$F$4:$H$5,2,FALSE()),0)),15-11*$AF$9)</f>
        <v>0.25</v>
      </c>
      <c r="AJ46" s="222" t="n">
        <v>4</v>
      </c>
      <c r="AL46" s="223"/>
      <c r="AM46" s="224" t="n">
        <f aca="false">$X46</f>
        <v>0</v>
      </c>
      <c r="AN46" s="225" t="n">
        <f aca="false" t="array" ref="AN46:AN46">ROUND(ORÇAMENTO.CustoUnitario*(1+$AH46),2)</f>
        <v>0</v>
      </c>
    </row>
    <row r="47" customFormat="false" ht="12.75" hidden="false" customHeight="false" outlineLevel="0" collapsed="false">
      <c r="A47" s="0" t="str">
        <f aca="false">CHOOSE(1+LOG(1+2*(ORÇAMENTO.Nivel="Meta")+4*(ORÇAMENTO.Nivel="Nível 2")+8*(ORÇAMENTO.Nivel="Nível 3")+16*(ORÇAMENTO.Nivel="Nível 4")+32*(ORÇAMENTO.Nivel="Serviço"),2),0,1,2,3,4,"S")</f>
        <v>S</v>
      </c>
      <c r="B47" s="0" t="n">
        <f aca="true">IF(OR(C47="s",C47=0),OFFSET(B47,-1,0),C47)</f>
        <v>2</v>
      </c>
      <c r="C47" s="0" t="str">
        <f aca="true">IF(OFFSET(C47,-1,0)="L",1,IF(OFFSET(C47,-1,0)=1,2,IF(OR(A47="s",A47=0),"S",IF(AND(OFFSET(C47,-1,0)=2,A47=4),3,IF(AND(OR(OFFSET(C47,-1,0)="s",OFFSET(C47,-1,0)=0),A47&lt;&gt;"s",A47&gt;OFFSET(B47,-1,0)),OFFSET(B47,-1,0),A47)))))</f>
        <v>S</v>
      </c>
      <c r="D47" s="0" t="n">
        <f aca="false">IF(OR(C47="S",C47=0),0,IF(ISERROR(K47),J47,SMALL(J47:K47,1)))</f>
        <v>0</v>
      </c>
      <c r="E47" s="0" t="n">
        <f aca="true">IF($C47=1,OFFSET(E47,-1,0)+MAX(1,COUNTIF(QCI!$A$13:$A$24,OFFSET(ORÇAMENTO!E47,-1,0))),OFFSET(E47,-1,0))</f>
        <v>1</v>
      </c>
      <c r="F47" s="0" t="n">
        <f aca="true">IF($C47=1,0,IF($C47=2,OFFSET(F47,-1,0)+1,OFFSET(F47,-1,0)))</f>
        <v>8</v>
      </c>
      <c r="G47" s="0" t="n">
        <f aca="true">IF(AND($C47&lt;=2,$C47&lt;&gt;0),0,IF($C47=3,OFFSET(G47,-1,0)+1,OFFSET(G47,-1,0)))</f>
        <v>0</v>
      </c>
      <c r="H47" s="0" t="n">
        <f aca="true">IF(AND($C47&lt;=3,$C47&lt;&gt;0),0,IF($C47=4,OFFSET(H47,-1,0)+1,OFFSET(H47,-1,0)))</f>
        <v>0</v>
      </c>
      <c r="I47" s="0" t="n">
        <f aca="true">IF(AND($C47&lt;=4,$C47&lt;&gt;0),0,IF(AND($C47="S",$X47&gt;0),OFFSET(I47,-1,0)+1,OFFSET(I47,-1,0)))</f>
        <v>0</v>
      </c>
      <c r="J47" s="0" t="n">
        <f aca="true">IF(OR($C47="S",$C47=0),0,MATCH(0,OFFSET($D47,1,$C47,ROW($C$59)-ROW($C47)),0))</f>
        <v>0</v>
      </c>
      <c r="K47" s="0" t="n">
        <f aca="true">IF(OR($C47="S",$C47=0),0,MATCH(OFFSET($D47,0,$C47)+IF($C47&lt;&gt;1,1,COUNTIF(QCI!$A$13:$A$24,ORÇAMENTO!E47)),OFFSET($D47,1,$C47,ROW($C$59)-ROW($C47)),0))</f>
        <v>0</v>
      </c>
      <c r="L47" s="204" t="str">
        <f aca="false">IF(OR($X47&gt;0,$C47=1,$C47=2,$C47=3,$C47=4),"F","")</f>
        <v/>
      </c>
      <c r="M47" s="205" t="s">
        <v>767</v>
      </c>
      <c r="N47" s="206" t="str">
        <f aca="false">CHOOSE(1+LOG(1+2*(C47=1)+4*(C47=2)+8*(C47=3)+16*(C47=4)+32*(C47="S"),2),"","Meta","Nível 2","Nível 3","Nível 4","Serviço")</f>
        <v>Serviço</v>
      </c>
      <c r="O47" s="207" t="str">
        <f aca="false">IF(OR($C47=0,$L47=""),"-",CONCATENATE(E47&amp;".",IF(AND($A$5&gt;=2,$C47&gt;=2),F47&amp;".",""),IF(AND($A$5&gt;=3,$C47&gt;=3),G47&amp;".",""),IF(AND($A$5&gt;=4,$C47&gt;=4),H47&amp;".",""),IF($C47="S",I47&amp;".","")))</f>
        <v>-</v>
      </c>
      <c r="P47" s="208" t="s">
        <v>772</v>
      </c>
      <c r="Q47" s="241" t="s">
        <v>855</v>
      </c>
      <c r="R47" s="210" t="str">
        <f aca="true" t="array" ref="R47:R47">IF($C47="S",REFERENCIA.Descricao,"(digite a descrição aqui)")</f>
        <v>(Código não identificado nas referências)</v>
      </c>
      <c r="S47" s="211" t="str">
        <f aca="true" t="array" ref="S47:S47">REFERENCIA.Unidade</f>
        <v>-</v>
      </c>
      <c r="T47" s="212" t="n">
        <f aca="true">OFFSET(CÁLCULO!H$15,ROW($T47)-ROW(T$15),0)</f>
        <v>2</v>
      </c>
      <c r="U47" s="213" t="n">
        <f aca="false">AG47</f>
        <v>0</v>
      </c>
      <c r="V47" s="214" t="s">
        <v>723</v>
      </c>
      <c r="W47" s="212" t="n">
        <f aca="false" t="array" ref="W47:W47">IF($C47="S",ROUND(IF(TIPOORCAMENTO="Proposto",ORÇAMENTO.CustoUnitario*(1+$AH47),ORÇAMENTO.PrecoUnitarioLicitado),15-13*$AF$10),0)</f>
        <v>0</v>
      </c>
      <c r="X47" s="215" t="n">
        <f aca="true" t="array" ref="X47:X47">IF($C47="S",IF(OR(Import.TipoArredondamento&lt;&gt;"TransfereGOV",ACOMPANHAMENTO="BM"),VTOTAL1,SUM(OFFSET(CÁLCULO!$AA$15,ROW($X47)-ROW($X$15),1):OFFSET(CÁLCULO!$AL$15,ROW($X47)-ROW($X$15),-1))),IF($C47=0,0,ROUND(SomaAgrup,15-13*$AF$11)))</f>
        <v>0</v>
      </c>
      <c r="Y47" s="216" t="s">
        <v>776</v>
      </c>
      <c r="Z47" s="0" t="str">
        <f aca="false">IF(AND($C47="S",$X47&gt;0),IF(ISBLANK($Y47),"RA",LEFT($Y47,2)),"")</f>
        <v/>
      </c>
      <c r="AA47" s="217" t="n">
        <f aca="true" t="array" ref="AA47:AA47">IF($C47="S",IF($Z47="CP",$X47,IF($Z47="RA",(($X47)*QCI!$AA$3),0)),SomaAgrup)</f>
        <v>0</v>
      </c>
      <c r="AB47" s="218" t="n">
        <f aca="true" t="array" ref="AB47:AB47">IF($C47="S",IF($Z47="OU",ROUND($X47,2),0),SomaAgrup)</f>
        <v>0</v>
      </c>
      <c r="AC47" s="219" t="str">
        <f aca="false" t="array" ref="AC47:AC47">IF($N47=""," ",
IF(AND($C47&lt;&gt;"S",OR($R47="",$R47="(digite a descrição aqui)")),"DESCRIÇÃO",
IF(AND($C47="S",OR($Q47&lt;&gt;"",$T47&gt;0,$U47&gt;0),$P47=""),"FONTE",
IF(AND($C47="S",$P47&lt;&gt;"",OR($T47&gt;0,$U47&gt;0),$Q47=""),"CÓDIGO",
IF(AND($C47="S",$P47&lt;&gt;"",$Q47&lt;&gt;"",$R47="(Código não identificado nas referências)"),"CÓDIGO N/ID",
IF(AND($C47="S",OR($R47="",$R47="(digite a descrição aqui)"),OR($Q47&lt;&gt;"",$T47&gt;0,$U47&gt;0)),"DESCRIÇÃO",
IF(AND($C47="S",$P47&lt;&gt;"",$Q47&lt;&gt;"",$S47=""),"UNIDADE",
IF(AND($C47="S",$P47&lt;&gt;"",$Q47&lt;&gt;"",$U47=0),"SEM CUSTO",
IF(AND(TIPOORCAMENTO="Licitado",$AL47=0,$AN47&gt;0),"SEM PREÇO",
IF(AND($C47="S",$P47&lt;&gt;"",$Q47&lt;&gt;"",$U47&gt;0,AND($V47&lt;&gt;"BDI 1",$V47&lt;&gt;"BDI 2",$V47&lt;&gt;"BDI 3")),IF(ISNUMBER($V47),"JUSTIFICAR BDI","BDI"),
IF(OR(AND(import.recurso="OGU",TIPOORCAMENTO="Proposto",LEFT($O$8,5)&lt;&gt;"(N/D:",$AG47&lt;&gt;"",ORÇAMENTO.CustoUnitario&gt;$AG47),AND(TIPOORCAMENTO="LICITADO",ORÇAMENTO.PrecoUnitarioLicitado&gt;$AN47)),"ACIMA REF.",
IF(AND($C47="S",$P47&lt;&gt;"",$Q47&lt;&gt;"",$T47=0,$U47&gt;0),"QUANT.",
IF(AND(Import.TipoArredondamento="TransfereGOV",$L47="F",$C47="S",LEN($Q47)&gt;13),"Código &gt;13",
IF(AND(Import.TipoArredondamento="TransfereGOV",$L47="F",$C47&lt;&gt;"S",LEN($R47)&gt;100),"Descrição &gt;100",
IF(AND(Import.TipoArredondamento="TransfereGOV",$L47="F",$C47="S",LEN($R47)&gt;500),"Descrição &gt;500",
IF(AND(Import.TipoArredondamento="TransfereGOV",$L47="F",$C47="S",LEFT(TRIM(UPPER($P47)),6)&lt;&gt;"SINAPI",ISNA(VLOOKUP(TRIM(UPPER($S47)),ListaTgov.Unidades,1,FALSE()))),"Unid. Não Disp",
" "))))))))))))))))</f>
        <v>CÓDIGO N/ID</v>
      </c>
      <c r="AD47" s="0" t="str">
        <f aca="true">IF(C47&lt;=CRONO.NivelExibicao,MAX($AD$15:OFFSET(AD47,-1,0))+IF($C47&lt;&gt;1,1,MAX(1,COUNTIF(QCI!$A$13:$A$24,OFFSET($E47,-1,0)))),"")</f>
        <v/>
      </c>
      <c r="AE47" s="48" t="str">
        <f aca="false" t="array" ref="AE47:AE47">IF(AND($C47="S",ORÇAMENTO.CodBarra&lt;&gt;""),IF(ORÇAMENTO.Fonte="",ORÇAMENTO.CodBarra,CONCATENATE(ORÇAMENTO.Fonte," ",ORÇAMENTO.CodBarra)))</f>
        <v>Cotação 8</v>
      </c>
      <c r="AF47" s="63" t="str">
        <f aca="true" t="array" ref="AF47:AF47">IF(ISERROR(ORÇAMENTO.BancoRef),"(abra o arquivo 'Referência "&amp;Excel_BuiltIn_Database&amp;".xlsm)",IF(OR($C47&lt;&gt;"S",ORÇAMENTO.CodBarra=""),"(Sem Código)",IF(ISERROR(MATCH($AE47,INDIRECT(ORÇAMENTO.BancoRef),0)),"(Código não identificado nas referências)",MATCH($AE47,INDIRECT(ORÇAMENTO.BancoRef),0))))</f>
        <v>(Código não identificado nas referências)</v>
      </c>
      <c r="AG47" s="220" t="n">
        <f aca="true" t="array" ref="AG47:AG47">ROUND(IF(DESONERACAO="sim",REFERENCIA.Desonerado,REFERENCIA.NaoDesonerado),2)</f>
        <v>0</v>
      </c>
      <c r="AH47" s="221" t="n">
        <f aca="false">ROUND(IF(ISNUMBER(ORÇAMENTO.OpcaoBDI),ORÇAMENTO.OpcaoBDI,IF(LEFT(ORÇAMENTO.OpcaoBDI,3)="BDI",HLOOKUP(ORÇAMENTO.OpcaoBDI,$F$4:$H$5,2,FALSE()),0)),15-11*$AF$9)</f>
        <v>0.25</v>
      </c>
      <c r="AJ47" s="222" t="n">
        <v>2</v>
      </c>
      <c r="AL47" s="223"/>
      <c r="AM47" s="224" t="n">
        <f aca="false">$X47</f>
        <v>0</v>
      </c>
      <c r="AN47" s="225" t="n">
        <f aca="false" t="array" ref="AN47:AN47">ROUND(ORÇAMENTO.CustoUnitario*(1+$AH47),2)</f>
        <v>0</v>
      </c>
    </row>
    <row r="48" customFormat="false" ht="12.75" hidden="false" customHeight="false" outlineLevel="0" collapsed="false">
      <c r="A48" s="0" t="str">
        <f aca="false">CHOOSE(1+LOG(1+2*(ORÇAMENTO.Nivel="Meta")+4*(ORÇAMENTO.Nivel="Nível 2")+8*(ORÇAMENTO.Nivel="Nível 3")+16*(ORÇAMENTO.Nivel="Nível 4")+32*(ORÇAMENTO.Nivel="Serviço"),2),0,1,2,3,4,"S")</f>
        <v>S</v>
      </c>
      <c r="B48" s="0" t="n">
        <f aca="true">IF(OR(C48="s",C48=0),OFFSET(B48,-1,0),C48)</f>
        <v>2</v>
      </c>
      <c r="C48" s="0" t="str">
        <f aca="true">IF(OFFSET(C48,-1,0)="L",1,IF(OFFSET(C48,-1,0)=1,2,IF(OR(A48="s",A48=0),"S",IF(AND(OFFSET(C48,-1,0)=2,A48=4),3,IF(AND(OR(OFFSET(C48,-1,0)="s",OFFSET(C48,-1,0)=0),A48&lt;&gt;"s",A48&gt;OFFSET(B48,-1,0)),OFFSET(B48,-1,0),A48)))))</f>
        <v>S</v>
      </c>
      <c r="D48" s="0" t="n">
        <f aca="false">IF(OR(C48="S",C48=0),0,IF(ISERROR(K48),J48,SMALL(J48:K48,1)))</f>
        <v>0</v>
      </c>
      <c r="E48" s="0" t="n">
        <f aca="true">IF($C48=1,OFFSET(E48,-1,0)+MAX(1,COUNTIF(QCI!$A$13:$A$24,OFFSET(ORÇAMENTO!E48,-1,0))),OFFSET(E48,-1,0))</f>
        <v>1</v>
      </c>
      <c r="F48" s="0" t="n">
        <f aca="true">IF($C48=1,0,IF($C48=2,OFFSET(F48,-1,0)+1,OFFSET(F48,-1,0)))</f>
        <v>8</v>
      </c>
      <c r="G48" s="0" t="n">
        <f aca="true">IF(AND($C48&lt;=2,$C48&lt;&gt;0),0,IF($C48=3,OFFSET(G48,-1,0)+1,OFFSET(G48,-1,0)))</f>
        <v>0</v>
      </c>
      <c r="H48" s="0" t="n">
        <f aca="true">IF(AND($C48&lt;=3,$C48&lt;&gt;0),0,IF($C48=4,OFFSET(H48,-1,0)+1,OFFSET(H48,-1,0)))</f>
        <v>0</v>
      </c>
      <c r="I48" s="0" t="n">
        <f aca="true">IF(AND($C48&lt;=4,$C48&lt;&gt;0),0,IF(AND($C48="S",$X48&gt;0),OFFSET(I48,-1,0)+1,OFFSET(I48,-1,0)))</f>
        <v>0</v>
      </c>
      <c r="J48" s="0" t="n">
        <f aca="true">IF(OR($C48="S",$C48=0),0,MATCH(0,OFFSET($D48,1,$C48,ROW($C$59)-ROW($C48)),0))</f>
        <v>0</v>
      </c>
      <c r="K48" s="0" t="n">
        <f aca="true">IF(OR($C48="S",$C48=0),0,MATCH(OFFSET($D48,0,$C48)+IF($C48&lt;&gt;1,1,COUNTIF(QCI!$A$13:$A$24,ORÇAMENTO!E48)),OFFSET($D48,1,$C48,ROW($C$59)-ROW($C48)),0))</f>
        <v>0</v>
      </c>
      <c r="L48" s="204" t="str">
        <f aca="false">IF(OR($X48&gt;0,$C48=1,$C48=2,$C48=3,$C48=4),"F","")</f>
        <v/>
      </c>
      <c r="M48" s="205" t="s">
        <v>767</v>
      </c>
      <c r="N48" s="206" t="str">
        <f aca="false">CHOOSE(1+LOG(1+2*(C48=1)+4*(C48=2)+8*(C48=3)+16*(C48=4)+32*(C48="S"),2),"","Meta","Nível 2","Nível 3","Nível 4","Serviço")</f>
        <v>Serviço</v>
      </c>
      <c r="O48" s="207" t="str">
        <f aca="false">IF(OR($C48=0,$L48=""),"-",CONCATENATE(E48&amp;".",IF(AND($A$5&gt;=2,$C48&gt;=2),F48&amp;".",""),IF(AND($A$5&gt;=3,$C48&gt;=3),G48&amp;".",""),IF(AND($A$5&gt;=4,$C48&gt;=4),H48&amp;".",""),IF($C48="S",I48&amp;".","")))</f>
        <v>-</v>
      </c>
      <c r="P48" s="208" t="s">
        <v>771</v>
      </c>
      <c r="Q48" s="241" t="s">
        <v>856</v>
      </c>
      <c r="R48" s="210" t="str">
        <f aca="true" t="array" ref="R48:R48">IF($C48="S",REFERENCIA.Descricao,"(digite a descrição aqui)")</f>
        <v>(Código não identificado nas referências)</v>
      </c>
      <c r="S48" s="211" t="str">
        <f aca="true" t="array" ref="S48:S48">REFERENCIA.Unidade</f>
        <v>-</v>
      </c>
      <c r="T48" s="212" t="n">
        <f aca="true">OFFSET(CÁLCULO!H$15,ROW($T48)-ROW(T$15),0)</f>
        <v>1</v>
      </c>
      <c r="U48" s="213" t="n">
        <f aca="false">AG48</f>
        <v>0</v>
      </c>
      <c r="V48" s="214" t="s">
        <v>723</v>
      </c>
      <c r="W48" s="212" t="n">
        <f aca="false" t="array" ref="W48:W48">IF($C48="S",ROUND(IF(TIPOORCAMENTO="Proposto",ORÇAMENTO.CustoUnitario*(1+$AH48),ORÇAMENTO.PrecoUnitarioLicitado),15-13*$AF$10),0)</f>
        <v>0</v>
      </c>
      <c r="X48" s="215" t="n">
        <f aca="true" t="array" ref="X48:X48">IF($C48="S",IF(OR(Import.TipoArredondamento&lt;&gt;"TransfereGOV",ACOMPANHAMENTO="BM"),VTOTAL1,SUM(OFFSET(CÁLCULO!$AA$15,ROW($X48)-ROW($X$15),1):OFFSET(CÁLCULO!$AL$15,ROW($X48)-ROW($X$15),-1))),IF($C48=0,0,ROUND(SomaAgrup,15-13*$AF$11)))</f>
        <v>0</v>
      </c>
      <c r="Y48" s="216" t="s">
        <v>776</v>
      </c>
      <c r="Z48" s="0" t="str">
        <f aca="false">IF(AND($C48="S",$X48&gt;0),IF(ISBLANK($Y48),"RA",LEFT($Y48,2)),"")</f>
        <v/>
      </c>
      <c r="AA48" s="217" t="n">
        <f aca="true" t="array" ref="AA48:AA48">IF($C48="S",IF($Z48="CP",$X48,IF($Z48="RA",(($X48)*QCI!$AA$3),0)),SomaAgrup)</f>
        <v>0</v>
      </c>
      <c r="AB48" s="218" t="n">
        <f aca="true" t="array" ref="AB48:AB48">IF($C48="S",IF($Z48="OU",ROUND($X48,2),0),SomaAgrup)</f>
        <v>0</v>
      </c>
      <c r="AC48" s="219" t="str">
        <f aca="false" t="array" ref="AC48:AC48">IF($N48=""," ",
IF(AND($C48&lt;&gt;"S",OR($R48="",$R48="(digite a descrição aqui)")),"DESCRIÇÃO",
IF(AND($C48="S",OR($Q48&lt;&gt;"",$T48&gt;0,$U48&gt;0),$P48=""),"FONTE",
IF(AND($C48="S",$P48&lt;&gt;"",OR($T48&gt;0,$U48&gt;0),$Q48=""),"CÓDIGO",
IF(AND($C48="S",$P48&lt;&gt;"",$Q48&lt;&gt;"",$R48="(Código não identificado nas referências)"),"CÓDIGO N/ID",
IF(AND($C48="S",OR($R48="",$R48="(digite a descrição aqui)"),OR($Q48&lt;&gt;"",$T48&gt;0,$U48&gt;0)),"DESCRIÇÃO",
IF(AND($C48="S",$P48&lt;&gt;"",$Q48&lt;&gt;"",$S48=""),"UNIDADE",
IF(AND($C48="S",$P48&lt;&gt;"",$Q48&lt;&gt;"",$U48=0),"SEM CUSTO",
IF(AND(TIPOORCAMENTO="Licitado",$AL48=0,$AN48&gt;0),"SEM PREÇO",
IF(AND($C48="S",$P48&lt;&gt;"",$Q48&lt;&gt;"",$U48&gt;0,AND($V48&lt;&gt;"BDI 1",$V48&lt;&gt;"BDI 2",$V48&lt;&gt;"BDI 3")),IF(ISNUMBER($V48),"JUSTIFICAR BDI","BDI"),
IF(OR(AND(import.recurso="OGU",TIPOORCAMENTO="Proposto",LEFT($O$8,5)&lt;&gt;"(N/D:",$AG48&lt;&gt;"",ORÇAMENTO.CustoUnitario&gt;$AG48),AND(TIPOORCAMENTO="LICITADO",ORÇAMENTO.PrecoUnitarioLicitado&gt;$AN48)),"ACIMA REF.",
IF(AND($C48="S",$P48&lt;&gt;"",$Q48&lt;&gt;"",$T48=0,$U48&gt;0),"QUANT.",
IF(AND(Import.TipoArredondamento="TransfereGOV",$L48="F",$C48="S",LEN($Q48)&gt;13),"Código &gt;13",
IF(AND(Import.TipoArredondamento="TransfereGOV",$L48="F",$C48&lt;&gt;"S",LEN($R48)&gt;100),"Descrição &gt;100",
IF(AND(Import.TipoArredondamento="TransfereGOV",$L48="F",$C48="S",LEN($R48)&gt;500),"Descrição &gt;500",
IF(AND(Import.TipoArredondamento="TransfereGOV",$L48="F",$C48="S",LEFT(TRIM(UPPER($P48)),6)&lt;&gt;"SINAPI",ISNA(VLOOKUP(TRIM(UPPER($S48)),ListaTgov.Unidades,1,FALSE()))),"Unid. Não Disp",
" "))))))))))))))))</f>
        <v>CÓDIGO N/ID</v>
      </c>
      <c r="AD48" s="0" t="str">
        <f aca="true">IF(C48&lt;=CRONO.NivelExibicao,MAX($AD$15:OFFSET(AD48,-1,0))+IF($C48&lt;&gt;1,1,MAX(1,COUNTIF(QCI!$A$13:$A$24,OFFSET($E48,-1,0)))),"")</f>
        <v/>
      </c>
      <c r="AE48" s="48" t="str">
        <f aca="false" t="array" ref="AE48:AE48">IF(AND($C48="S",ORÇAMENTO.CodBarra&lt;&gt;""),IF(ORÇAMENTO.Fonte="",ORÇAMENTO.CodBarra,CONCATENATE(ORÇAMENTO.Fonte," ",ORÇAMENTO.CodBarra)))</f>
        <v>Composição 13</v>
      </c>
      <c r="AF48" s="63" t="str">
        <f aca="true" t="array" ref="AF48:AF48">IF(ISERROR(ORÇAMENTO.BancoRef),"(abra o arquivo 'Referência "&amp;Excel_BuiltIn_Database&amp;".xlsm)",IF(OR($C48&lt;&gt;"S",ORÇAMENTO.CodBarra=""),"(Sem Código)",IF(ISERROR(MATCH($AE48,INDIRECT(ORÇAMENTO.BancoRef),0)),"(Código não identificado nas referências)",MATCH($AE48,INDIRECT(ORÇAMENTO.BancoRef),0))))</f>
        <v>(Código não identificado nas referências)</v>
      </c>
      <c r="AG48" s="220" t="n">
        <f aca="true" t="array" ref="AG48:AG48">ROUND(IF(DESONERACAO="sim",REFERENCIA.Desonerado,REFERENCIA.NaoDesonerado),2)</f>
        <v>0</v>
      </c>
      <c r="AH48" s="221" t="n">
        <f aca="false">ROUND(IF(ISNUMBER(ORÇAMENTO.OpcaoBDI),ORÇAMENTO.OpcaoBDI,IF(LEFT(ORÇAMENTO.OpcaoBDI,3)="BDI",HLOOKUP(ORÇAMENTO.OpcaoBDI,$F$4:$H$5,2,FALSE()),0)),15-11*$AF$9)</f>
        <v>0.25</v>
      </c>
      <c r="AJ48" s="222" t="n">
        <v>1</v>
      </c>
      <c r="AL48" s="223"/>
      <c r="AM48" s="224" t="n">
        <f aca="false">$X48</f>
        <v>0</v>
      </c>
      <c r="AN48" s="225" t="n">
        <f aca="false" t="array" ref="AN48:AN48">ROUND(ORÇAMENTO.CustoUnitario*(1+$AH48),2)</f>
        <v>0</v>
      </c>
    </row>
    <row r="49" customFormat="false" ht="12.75" hidden="false" customHeight="false" outlineLevel="0" collapsed="false">
      <c r="A49" s="0" t="n">
        <f aca="false">CHOOSE(1+LOG(1+2*(ORÇAMENTO.Nivel="Meta")+4*(ORÇAMENTO.Nivel="Nível 2")+8*(ORÇAMENTO.Nivel="Nível 3")+16*(ORÇAMENTO.Nivel="Nível 4")+32*(ORÇAMENTO.Nivel="Serviço"),2),0,1,2,3,4,"S")</f>
        <v>2</v>
      </c>
      <c r="B49" s="0" t="n">
        <f aca="true">IF(OR(C49="s",C49=0),OFFSET(B49,-1,0),C49)</f>
        <v>2</v>
      </c>
      <c r="C49" s="0" t="n">
        <f aca="true">IF(OFFSET(C49,-1,0)="L",1,IF(OFFSET(C49,-1,0)=1,2,IF(OR(A49="s",A49=0),"S",IF(AND(OFFSET(C49,-1,0)=2,A49=4),3,IF(AND(OR(OFFSET(C49,-1,0)="s",OFFSET(C49,-1,0)=0),A49&lt;&gt;"s",A49&gt;OFFSET(B49,-1,0)),OFFSET(B49,-1,0),A49)))))</f>
        <v>2</v>
      </c>
      <c r="D49" s="0" t="n">
        <f aca="false">IF(OR(C49="S",C49=0),0,IF(ISERROR(K49),J49,SMALL(J49:K49,1)))</f>
        <v>3</v>
      </c>
      <c r="E49" s="0" t="n">
        <f aca="true">IF($C49=1,OFFSET(E49,-1,0)+MAX(1,COUNTIF(QCI!$A$13:$A$24,OFFSET(ORÇAMENTO!E49,-1,0))),OFFSET(E49,-1,0))</f>
        <v>1</v>
      </c>
      <c r="F49" s="0" t="n">
        <f aca="true">IF($C49=1,0,IF($C49=2,OFFSET(F49,-1,0)+1,OFFSET(F49,-1,0)))</f>
        <v>9</v>
      </c>
      <c r="G49" s="0" t="n">
        <f aca="true">IF(AND($C49&lt;=2,$C49&lt;&gt;0),0,IF($C49=3,OFFSET(G49,-1,0)+1,OFFSET(G49,-1,0)))</f>
        <v>0</v>
      </c>
      <c r="H49" s="0" t="n">
        <f aca="true">IF(AND($C49&lt;=3,$C49&lt;&gt;0),0,IF($C49=4,OFFSET(H49,-1,0)+1,OFFSET(H49,-1,0)))</f>
        <v>0</v>
      </c>
      <c r="I49" s="0" t="n">
        <f aca="true">IF(AND($C49&lt;=4,$C49&lt;&gt;0),0,IF(AND($C49="S",$X49&gt;0),OFFSET(I49,-1,0)+1,OFFSET(I49,-1,0)))</f>
        <v>0</v>
      </c>
      <c r="J49" s="0" t="n">
        <f aca="true">IF(OR($C49="S",$C49=0),0,MATCH(0,OFFSET($D49,1,$C49,ROW($C$59)-ROW($C49)),0))</f>
        <v>10</v>
      </c>
      <c r="K49" s="0" t="n">
        <f aca="true">IF(OR($C49="S",$C49=0),0,MATCH(OFFSET($D49,0,$C49)+IF($C49&lt;&gt;1,1,COUNTIF(QCI!$A$13:$A$24,ORÇAMENTO!E49)),OFFSET($D49,1,$C49,ROW($C$59)-ROW($C49)),0))</f>
        <v>3</v>
      </c>
      <c r="L49" s="204" t="str">
        <f aca="false">IF(OR($X49&gt;0,$C49=1,$C49=2,$C49=3,$C49=4),"F","")</f>
        <v>F</v>
      </c>
      <c r="M49" s="205" t="s">
        <v>764</v>
      </c>
      <c r="N49" s="206" t="str">
        <f aca="false">CHOOSE(1+LOG(1+2*(C49=1)+4*(C49=2)+8*(C49=3)+16*(C49=4)+32*(C49="S"),2),"","Meta","Nível 2","Nível 3","Nível 4","Serviço")</f>
        <v>Nível 2</v>
      </c>
      <c r="O49" s="207" t="str">
        <f aca="false">IF(OR($C49=0,$L49=""),"-",CONCATENATE(E49&amp;".",IF(AND($A$5&gt;=2,$C49&gt;=2),F49&amp;".",""),IF(AND($A$5&gt;=3,$C49&gt;=3),G49&amp;".",""),IF(AND($A$5&gt;=4,$C49&gt;=4),H49&amp;".",""),IF($C49="S",I49&amp;".","")))</f>
        <v>1.9.</v>
      </c>
      <c r="P49" s="208" t="s">
        <v>768</v>
      </c>
      <c r="Q49" s="209"/>
      <c r="R49" s="240" t="s">
        <v>857</v>
      </c>
      <c r="S49" s="211" t="str">
        <f aca="true" t="array" ref="S49:S49">REFERENCIA.Unidade</f>
        <v>-</v>
      </c>
      <c r="T49" s="212" t="n">
        <f aca="true">OFFSET(CÁLCULO!H$15,ROW($T49)-ROW(T$15),0)</f>
        <v>0</v>
      </c>
      <c r="U49" s="213" t="n">
        <f aca="false">AG49</f>
        <v>0</v>
      </c>
      <c r="V49" s="214" t="s">
        <v>723</v>
      </c>
      <c r="W49" s="212" t="n">
        <f aca="false" t="array" ref="W49:W49">IF($C49="S",ROUND(IF(TIPOORCAMENTO="Proposto",ORÇAMENTO.CustoUnitario*(1+$AH49),ORÇAMENTO.PrecoUnitarioLicitado),15-13*$AF$10),0)</f>
        <v>0</v>
      </c>
      <c r="X49" s="215" t="n">
        <f aca="true" t="array" ref="X49:X49">IF($C49="S",IF(OR(Import.TipoArredondamento&lt;&gt;"TransfereGOV",ACOMPANHAMENTO="BM"),VTOTAL1,SUM(OFFSET(CÁLCULO!$AA$15,ROW($X49)-ROW($X$15),1):OFFSET(CÁLCULO!$AL$15,ROW($X49)-ROW($X$15),-1))),IF($C49=0,0,ROUND(SomaAgrup,15-13*$AF$11)))</f>
        <v>0</v>
      </c>
      <c r="Y49" s="216" t="s">
        <v>776</v>
      </c>
      <c r="Z49" s="0" t="str">
        <f aca="false">IF(AND($C49="S",$X49&gt;0),IF(ISBLANK($Y49),"RA",LEFT($Y49,2)),"")</f>
        <v/>
      </c>
      <c r="AA49" s="217" t="n">
        <f aca="true" t="array" ref="AA49:AA49">IF($C49="S",IF($Z49="CP",$X49,IF($Z49="RA",(($X49)*QCI!$AA$3),0)),SomaAgrup)</f>
        <v>0</v>
      </c>
      <c r="AB49" s="218" t="n">
        <f aca="true" t="array" ref="AB49:AB49">IF($C49="S",IF($Z49="OU",ROUND($X49,2),0),SomaAgrup)</f>
        <v>0</v>
      </c>
      <c r="AC49" s="219" t="str">
        <f aca="false" t="array" ref="AC49:AC49">IF($N49=""," ",
IF(AND($C49&lt;&gt;"S",OR($R49="",$R49="(digite a descrição aqui)")),"DESCRIÇÃO",
IF(AND($C49="S",OR($Q49&lt;&gt;"",$T49&gt;0,$U49&gt;0),$P49=""),"FONTE",
IF(AND($C49="S",$P49&lt;&gt;"",OR($T49&gt;0,$U49&gt;0),$Q49=""),"CÓDIGO",
IF(AND($C49="S",$P49&lt;&gt;"",$Q49&lt;&gt;"",$R49="(Código não identificado nas referências)"),"CÓDIGO N/ID",
IF(AND($C49="S",OR($R49="",$R49="(digite a descrição aqui)"),OR($Q49&lt;&gt;"",$T49&gt;0,$U49&gt;0)),"DESCRIÇÃO",
IF(AND($C49="S",$P49&lt;&gt;"",$Q49&lt;&gt;"",$S49=""),"UNIDADE",
IF(AND($C49="S",$P49&lt;&gt;"",$Q49&lt;&gt;"",$U49=0),"SEM CUSTO",
IF(AND(TIPOORCAMENTO="Licitado",$AL49=0,$AN49&gt;0),"SEM PREÇO",
IF(AND($C49="S",$P49&lt;&gt;"",$Q49&lt;&gt;"",$U49&gt;0,AND($V49&lt;&gt;"BDI 1",$V49&lt;&gt;"BDI 2",$V49&lt;&gt;"BDI 3")),IF(ISNUMBER($V49),"JUSTIFICAR BDI","BDI"),
IF(OR(AND(import.recurso="OGU",TIPOORCAMENTO="Proposto",LEFT($O$8,5)&lt;&gt;"(N/D:",$AG49&lt;&gt;"",ORÇAMENTO.CustoUnitario&gt;$AG49),AND(TIPOORCAMENTO="LICITADO",ORÇAMENTO.PrecoUnitarioLicitado&gt;$AN49)),"ACIMA REF.",
IF(AND($C49="S",$P49&lt;&gt;"",$Q49&lt;&gt;"",$T49=0,$U49&gt;0),"QUANT.",
IF(AND(Import.TipoArredondamento="TransfereGOV",$L49="F",$C49="S",LEN($Q49)&gt;13),"Código &gt;13",
IF(AND(Import.TipoArredondamento="TransfereGOV",$L49="F",$C49&lt;&gt;"S",LEN($R49)&gt;100),"Descrição &gt;100",
IF(AND(Import.TipoArredondamento="TransfereGOV",$L49="F",$C49="S",LEN($R49)&gt;500),"Descrição &gt;500",
IF(AND(Import.TipoArredondamento="TransfereGOV",$L49="F",$C49="S",LEFT(TRIM(UPPER($P49)),6)&lt;&gt;"SINAPI",ISNA(VLOOKUP(TRIM(UPPER($S49)),ListaTgov.Unidades,1,FALSE()))),"Unid. Não Disp",
" "))))))))))))))))</f>
        <v> </v>
      </c>
      <c r="AD49" s="0" t="n">
        <f aca="true">IF(C49&lt;=CRONO.NivelExibicao,MAX($AD$15:OFFSET(AD49,-1,0))+IF($C49&lt;&gt;1,1,MAX(1,COUNTIF(QCI!$A$13:$A$24,OFFSET($E49,-1,0)))),"")</f>
        <v>10</v>
      </c>
      <c r="AE49" s="48" t="n">
        <f aca="false" t="array" ref="AE49:AE49">IF(AND($C49="S",ORÇAMENTO.CodBarra&lt;&gt;""),IF(ORÇAMENTO.Fonte="",ORÇAMENTO.CodBarra,CONCATENATE(ORÇAMENTO.Fonte," ",ORÇAMENTO.CodBarra)))</f>
        <v>0</v>
      </c>
      <c r="AF49" s="63" t="str">
        <f aca="true" t="array" ref="AF49:AF49">IF(ISERROR(ORÇAMENTO.BancoRef),"(abra o arquivo 'Referência "&amp;Excel_BuiltIn_Database&amp;".xlsm)",IF(OR($C49&lt;&gt;"S",ORÇAMENTO.CodBarra=""),"(Sem Código)",IF(ISERROR(MATCH($AE49,INDIRECT(ORÇAMENTO.BancoRef),0)),"(Código não identificado nas referências)",MATCH($AE49,INDIRECT(ORÇAMENTO.BancoRef),0))))</f>
        <v>(Sem Código)</v>
      </c>
      <c r="AG49" s="220" t="n">
        <f aca="true" t="array" ref="AG49:AG49">ROUND(IF(DESONERACAO="sim",REFERENCIA.Desonerado,REFERENCIA.NaoDesonerado),2)</f>
        <v>0</v>
      </c>
      <c r="AH49" s="221" t="n">
        <f aca="false">ROUND(IF(ISNUMBER(ORÇAMENTO.OpcaoBDI),ORÇAMENTO.OpcaoBDI,IF(LEFT(ORÇAMENTO.OpcaoBDI,3)="BDI",HLOOKUP(ORÇAMENTO.OpcaoBDI,$F$4:$H$5,2,FALSE()),0)),15-11*$AF$9)</f>
        <v>0.25</v>
      </c>
      <c r="AJ49" s="222"/>
      <c r="AL49" s="223"/>
      <c r="AM49" s="224" t="n">
        <f aca="false">$X49</f>
        <v>0</v>
      </c>
      <c r="AN49" s="225" t="n">
        <f aca="false" t="array" ref="AN49:AN49">ROUND(ORÇAMENTO.CustoUnitario*(1+$AH49),2)</f>
        <v>0</v>
      </c>
    </row>
    <row r="50" customFormat="false" ht="12.75" hidden="false" customHeight="false" outlineLevel="0" collapsed="false">
      <c r="A50" s="0" t="str">
        <f aca="false">CHOOSE(1+LOG(1+2*(ORÇAMENTO.Nivel="Meta")+4*(ORÇAMENTO.Nivel="Nível 2")+8*(ORÇAMENTO.Nivel="Nível 3")+16*(ORÇAMENTO.Nivel="Nível 4")+32*(ORÇAMENTO.Nivel="Serviço"),2),0,1,2,3,4,"S")</f>
        <v>S</v>
      </c>
      <c r="B50" s="0" t="n">
        <f aca="true">IF(OR(C50="s",C50=0),OFFSET(B50,-1,0),C50)</f>
        <v>2</v>
      </c>
      <c r="C50" s="0" t="str">
        <f aca="true">IF(OFFSET(C50,-1,0)="L",1,IF(OFFSET(C50,-1,0)=1,2,IF(OR(A50="s",A50=0),"S",IF(AND(OFFSET(C50,-1,0)=2,A50=4),3,IF(AND(OR(OFFSET(C50,-1,0)="s",OFFSET(C50,-1,0)=0),A50&lt;&gt;"s",A50&gt;OFFSET(B50,-1,0)),OFFSET(B50,-1,0),A50)))))</f>
        <v>S</v>
      </c>
      <c r="D50" s="0" t="n">
        <f aca="false">IF(OR(C50="S",C50=0),0,IF(ISERROR(K50),J50,SMALL(J50:K50,1)))</f>
        <v>0</v>
      </c>
      <c r="E50" s="0" t="n">
        <f aca="true">IF($C50=1,OFFSET(E50,-1,0)+MAX(1,COUNTIF(QCI!$A$13:$A$24,OFFSET(ORÇAMENTO!E50,-1,0))),OFFSET(E50,-1,0))</f>
        <v>1</v>
      </c>
      <c r="F50" s="0" t="n">
        <f aca="true">IF($C50=1,0,IF($C50=2,OFFSET(F50,-1,0)+1,OFFSET(F50,-1,0)))</f>
        <v>9</v>
      </c>
      <c r="G50" s="0" t="n">
        <f aca="true">IF(AND($C50&lt;=2,$C50&lt;&gt;0),0,IF($C50=3,OFFSET(G50,-1,0)+1,OFFSET(G50,-1,0)))</f>
        <v>0</v>
      </c>
      <c r="H50" s="0" t="n">
        <f aca="true">IF(AND($C50&lt;=3,$C50&lt;&gt;0),0,IF($C50=4,OFFSET(H50,-1,0)+1,OFFSET(H50,-1,0)))</f>
        <v>0</v>
      </c>
      <c r="I50" s="0" t="n">
        <f aca="true">IF(AND($C50&lt;=4,$C50&lt;&gt;0),0,IF(AND($C50="S",$X50&gt;0),OFFSET(I50,-1,0)+1,OFFSET(I50,-1,0)))</f>
        <v>0</v>
      </c>
      <c r="J50" s="0" t="n">
        <f aca="true">IF(OR($C50="S",$C50=0),0,MATCH(0,OFFSET($D50,1,$C50,ROW($C$59)-ROW($C50)),0))</f>
        <v>0</v>
      </c>
      <c r="K50" s="0" t="n">
        <f aca="true">IF(OR($C50="S",$C50=0),0,MATCH(OFFSET($D50,0,$C50)+IF($C50&lt;&gt;1,1,COUNTIF(QCI!$A$13:$A$24,ORÇAMENTO!E50)),OFFSET($D50,1,$C50,ROW($C$59)-ROW($C50)),0))</f>
        <v>0</v>
      </c>
      <c r="L50" s="204" t="str">
        <f aca="false">IF(OR($X50&gt;0,$C50=1,$C50=2,$C50=3,$C50=4),"F","")</f>
        <v/>
      </c>
      <c r="M50" s="205" t="s">
        <v>767</v>
      </c>
      <c r="N50" s="206" t="str">
        <f aca="false">CHOOSE(1+LOG(1+2*(C50=1)+4*(C50=2)+8*(C50=3)+16*(C50=4)+32*(C50="S"),2),"","Meta","Nível 2","Nível 3","Nível 4","Serviço")</f>
        <v>Serviço</v>
      </c>
      <c r="O50" s="207" t="str">
        <f aca="false">IF(OR($C50=0,$L50=""),"-",CONCATENATE(E50&amp;".",IF(AND($A$5&gt;=2,$C50&gt;=2),F50&amp;".",""),IF(AND($A$5&gt;=3,$C50&gt;=3),G50&amp;".",""),IF(AND($A$5&gt;=4,$C50&gt;=4),H50&amp;".",""),IF($C50="S",I50&amp;".","")))</f>
        <v>-</v>
      </c>
      <c r="P50" s="208" t="s">
        <v>768</v>
      </c>
      <c r="Q50" s="241" t="s">
        <v>858</v>
      </c>
      <c r="R50" s="210" t="str">
        <f aca="true" t="array" ref="R50:R50">IF($C50="S",REFERENCIA.Descricao,"(digite a descrição aqui)")</f>
        <v>(Código não identificado nas referências)</v>
      </c>
      <c r="S50" s="211" t="str">
        <f aca="true" t="array" ref="S50:S50">REFERENCIA.Unidade</f>
        <v>-</v>
      </c>
      <c r="T50" s="212" t="n">
        <f aca="true">OFFSET(CÁLCULO!H$15,ROW($T50)-ROW(T$15),0)</f>
        <v>125</v>
      </c>
      <c r="U50" s="213" t="n">
        <f aca="false">AG50</f>
        <v>0</v>
      </c>
      <c r="V50" s="214" t="s">
        <v>723</v>
      </c>
      <c r="W50" s="212" t="n">
        <f aca="false" t="array" ref="W50:W50">IF($C50="S",ROUND(IF(TIPOORCAMENTO="Proposto",ORÇAMENTO.CustoUnitario*(1+$AH50),ORÇAMENTO.PrecoUnitarioLicitado),15-13*$AF$10),0)</f>
        <v>0</v>
      </c>
      <c r="X50" s="215" t="n">
        <f aca="true" t="array" ref="X50:X50">IF($C50="S",IF(OR(Import.TipoArredondamento&lt;&gt;"TransfereGOV",ACOMPANHAMENTO="BM"),VTOTAL1,SUM(OFFSET(CÁLCULO!$AA$15,ROW($X50)-ROW($X$15),1):OFFSET(CÁLCULO!$AL$15,ROW($X50)-ROW($X$15),-1))),IF($C50=0,0,ROUND(SomaAgrup,15-13*$AF$11)))</f>
        <v>0</v>
      </c>
      <c r="Y50" s="216" t="s">
        <v>776</v>
      </c>
      <c r="Z50" s="0" t="str">
        <f aca="false">IF(AND($C50="S",$X50&gt;0),IF(ISBLANK($Y50),"RA",LEFT($Y50,2)),"")</f>
        <v/>
      </c>
      <c r="AA50" s="217" t="n">
        <f aca="true" t="array" ref="AA50:AA50">IF($C50="S",IF($Z50="CP",$X50,IF($Z50="RA",(($X50)*QCI!$AA$3),0)),SomaAgrup)</f>
        <v>0</v>
      </c>
      <c r="AB50" s="218" t="n">
        <f aca="true" t="array" ref="AB50:AB50">IF($C50="S",IF($Z50="OU",ROUND($X50,2),0),SomaAgrup)</f>
        <v>0</v>
      </c>
      <c r="AC50" s="219" t="str">
        <f aca="false" t="array" ref="AC50:AC50">IF($N50=""," ",
IF(AND($C50&lt;&gt;"S",OR($R50="",$R50="(digite a descrição aqui)")),"DESCRIÇÃO",
IF(AND($C50="S",OR($Q50&lt;&gt;"",$T50&gt;0,$U50&gt;0),$P50=""),"FONTE",
IF(AND($C50="S",$P50&lt;&gt;"",OR($T50&gt;0,$U50&gt;0),$Q50=""),"CÓDIGO",
IF(AND($C50="S",$P50&lt;&gt;"",$Q50&lt;&gt;"",$R50="(Código não identificado nas referências)"),"CÓDIGO N/ID",
IF(AND($C50="S",OR($R50="",$R50="(digite a descrição aqui)"),OR($Q50&lt;&gt;"",$T50&gt;0,$U50&gt;0)),"DESCRIÇÃO",
IF(AND($C50="S",$P50&lt;&gt;"",$Q50&lt;&gt;"",$S50=""),"UNIDADE",
IF(AND($C50="S",$P50&lt;&gt;"",$Q50&lt;&gt;"",$U50=0),"SEM CUSTO",
IF(AND(TIPOORCAMENTO="Licitado",$AL50=0,$AN50&gt;0),"SEM PREÇO",
IF(AND($C50="S",$P50&lt;&gt;"",$Q50&lt;&gt;"",$U50&gt;0,AND($V50&lt;&gt;"BDI 1",$V50&lt;&gt;"BDI 2",$V50&lt;&gt;"BDI 3")),IF(ISNUMBER($V50),"JUSTIFICAR BDI","BDI"),
IF(OR(AND(import.recurso="OGU",TIPOORCAMENTO="Proposto",LEFT($O$8,5)&lt;&gt;"(N/D:",$AG50&lt;&gt;"",ORÇAMENTO.CustoUnitario&gt;$AG50),AND(TIPOORCAMENTO="LICITADO",ORÇAMENTO.PrecoUnitarioLicitado&gt;$AN50)),"ACIMA REF.",
IF(AND($C50="S",$P50&lt;&gt;"",$Q50&lt;&gt;"",$T50=0,$U50&gt;0),"QUANT.",
IF(AND(Import.TipoArredondamento="TransfereGOV",$L50="F",$C50="S",LEN($Q50)&gt;13),"Código &gt;13",
IF(AND(Import.TipoArredondamento="TransfereGOV",$L50="F",$C50&lt;&gt;"S",LEN($R50)&gt;100),"Descrição &gt;100",
IF(AND(Import.TipoArredondamento="TransfereGOV",$L50="F",$C50="S",LEN($R50)&gt;500),"Descrição &gt;500",
IF(AND(Import.TipoArredondamento="TransfereGOV",$L50="F",$C50="S",LEFT(TRIM(UPPER($P50)),6)&lt;&gt;"SINAPI",ISNA(VLOOKUP(TRIM(UPPER($S50)),ListaTgov.Unidades,1,FALSE()))),"Unid. Não Disp",
" "))))))))))))))))</f>
        <v>CÓDIGO N/ID</v>
      </c>
      <c r="AD50" s="0" t="str">
        <f aca="true">IF(C50&lt;=CRONO.NivelExibicao,MAX($AD$15:OFFSET(AD50,-1,0))+IF($C50&lt;&gt;1,1,MAX(1,COUNTIF(QCI!$A$13:$A$24,OFFSET($E50,-1,0)))),"")</f>
        <v/>
      </c>
      <c r="AE50" s="48" t="str">
        <f aca="false" t="array" ref="AE50:AE50">IF(AND($C50="S",ORÇAMENTO.CodBarra&lt;&gt;""),IF(ORÇAMENTO.Fonte="",ORÇAMENTO.CodBarra,CONCATENATE(ORÇAMENTO.Fonte," ",ORÇAMENTO.CodBarra)))</f>
        <v>SINAPI 104642</v>
      </c>
      <c r="AF50" s="63" t="str">
        <f aca="true" t="array" ref="AF50:AF50">IF(ISERROR(ORÇAMENTO.BancoRef),"(abra o arquivo 'Referência "&amp;Excel_BuiltIn_Database&amp;".xlsm)",IF(OR($C50&lt;&gt;"S",ORÇAMENTO.CodBarra=""),"(Sem Código)",IF(ISERROR(MATCH($AE50,INDIRECT(ORÇAMENTO.BancoRef),0)),"(Código não identificado nas referências)",MATCH($AE50,INDIRECT(ORÇAMENTO.BancoRef),0))))</f>
        <v>(Código não identificado nas referências)</v>
      </c>
      <c r="AG50" s="220" t="n">
        <f aca="true" t="array" ref="AG50:AG50">ROUND(IF(DESONERACAO="sim",REFERENCIA.Desonerado,REFERENCIA.NaoDesonerado),2)</f>
        <v>0</v>
      </c>
      <c r="AH50" s="221" t="n">
        <f aca="false">ROUND(IF(ISNUMBER(ORÇAMENTO.OpcaoBDI),ORÇAMENTO.OpcaoBDI,IF(LEFT(ORÇAMENTO.OpcaoBDI,3)="BDI",HLOOKUP(ORÇAMENTO.OpcaoBDI,$F$4:$H$5,2,FALSE()),0)),15-11*$AF$9)</f>
        <v>0.25</v>
      </c>
      <c r="AJ50" s="222" t="n">
        <v>125</v>
      </c>
      <c r="AL50" s="223"/>
      <c r="AM50" s="224" t="n">
        <f aca="false">$X50</f>
        <v>0</v>
      </c>
      <c r="AN50" s="225" t="n">
        <f aca="false" t="array" ref="AN50:AN50">ROUND(ORÇAMENTO.CustoUnitario*(1+$AH50),2)</f>
        <v>0</v>
      </c>
    </row>
    <row r="51" customFormat="false" ht="12.75" hidden="false" customHeight="false" outlineLevel="0" collapsed="false">
      <c r="A51" s="0" t="str">
        <f aca="false">CHOOSE(1+LOG(1+2*(ORÇAMENTO.Nivel="Meta")+4*(ORÇAMENTO.Nivel="Nível 2")+8*(ORÇAMENTO.Nivel="Nível 3")+16*(ORÇAMENTO.Nivel="Nível 4")+32*(ORÇAMENTO.Nivel="Serviço"),2),0,1,2,3,4,"S")</f>
        <v>S</v>
      </c>
      <c r="B51" s="0" t="n">
        <f aca="true">IF(OR(C51="s",C51=0),OFFSET(B51,-1,0),C51)</f>
        <v>2</v>
      </c>
      <c r="C51" s="0" t="str">
        <f aca="true">IF(OFFSET(C51,-1,0)="L",1,IF(OFFSET(C51,-1,0)=1,2,IF(OR(A51="s",A51=0),"S",IF(AND(OFFSET(C51,-1,0)=2,A51=4),3,IF(AND(OR(OFFSET(C51,-1,0)="s",OFFSET(C51,-1,0)=0),A51&lt;&gt;"s",A51&gt;OFFSET(B51,-1,0)),OFFSET(B51,-1,0),A51)))))</f>
        <v>S</v>
      </c>
      <c r="D51" s="0" t="n">
        <f aca="false">IF(OR(C51="S",C51=0),0,IF(ISERROR(K51),J51,SMALL(J51:K51,1)))</f>
        <v>0</v>
      </c>
      <c r="E51" s="0" t="n">
        <f aca="true">IF($C51=1,OFFSET(E51,-1,0)+MAX(1,COUNTIF(QCI!$A$13:$A$24,OFFSET(ORÇAMENTO!E51,-1,0))),OFFSET(E51,-1,0))</f>
        <v>1</v>
      </c>
      <c r="F51" s="0" t="n">
        <f aca="true">IF($C51=1,0,IF($C51=2,OFFSET(F51,-1,0)+1,OFFSET(F51,-1,0)))</f>
        <v>9</v>
      </c>
      <c r="G51" s="0" t="n">
        <f aca="true">IF(AND($C51&lt;=2,$C51&lt;&gt;0),0,IF($C51=3,OFFSET(G51,-1,0)+1,OFFSET(G51,-1,0)))</f>
        <v>0</v>
      </c>
      <c r="H51" s="0" t="n">
        <f aca="true">IF(AND($C51&lt;=3,$C51&lt;&gt;0),0,IF($C51=4,OFFSET(H51,-1,0)+1,OFFSET(H51,-1,0)))</f>
        <v>0</v>
      </c>
      <c r="I51" s="0" t="n">
        <f aca="true">IF(AND($C51&lt;=4,$C51&lt;&gt;0),0,IF(AND($C51="S",$X51&gt;0),OFFSET(I51,-1,0)+1,OFFSET(I51,-1,0)))</f>
        <v>0</v>
      </c>
      <c r="J51" s="0" t="n">
        <f aca="true">IF(OR($C51="S",$C51=0),0,MATCH(0,OFFSET($D51,1,$C51,ROW($C$59)-ROW($C51)),0))</f>
        <v>0</v>
      </c>
      <c r="K51" s="0" t="n">
        <f aca="true">IF(OR($C51="S",$C51=0),0,MATCH(OFFSET($D51,0,$C51)+IF($C51&lt;&gt;1,1,COUNTIF(QCI!$A$13:$A$24,ORÇAMENTO!E51)),OFFSET($D51,1,$C51,ROW($C$59)-ROW($C51)),0))</f>
        <v>0</v>
      </c>
      <c r="L51" s="204" t="str">
        <f aca="false">IF(OR($X51&gt;0,$C51=1,$C51=2,$C51=3,$C51=4),"F","")</f>
        <v/>
      </c>
      <c r="M51" s="205" t="s">
        <v>767</v>
      </c>
      <c r="N51" s="206" t="str">
        <f aca="false">CHOOSE(1+LOG(1+2*(C51=1)+4*(C51=2)+8*(C51=3)+16*(C51=4)+32*(C51="S"),2),"","Meta","Nível 2","Nível 3","Nível 4","Serviço")</f>
        <v>Serviço</v>
      </c>
      <c r="O51" s="207" t="str">
        <f aca="false">IF(OR($C51=0,$L51=""),"-",CONCATENATE(E51&amp;".",IF(AND($A$5&gt;=2,$C51&gt;=2),F51&amp;".",""),IF(AND($A$5&gt;=3,$C51&gt;=3),G51&amp;".",""),IF(AND($A$5&gt;=4,$C51&gt;=4),H51&amp;".",""),IF($C51="S",I51&amp;".","")))</f>
        <v>-</v>
      </c>
      <c r="P51" s="208" t="s">
        <v>768</v>
      </c>
      <c r="Q51" s="209" t="s">
        <v>859</v>
      </c>
      <c r="R51" s="240" t="str">
        <f aca="true" t="array" ref="R51:R51">IF($C51="S",REFERENCIA.Descricao,"(digite a descrição aqui)")</f>
        <v>(Código não identificado nas referências)</v>
      </c>
      <c r="S51" s="211" t="str">
        <f aca="true" t="array" ref="S51:S51">REFERENCIA.Unidade</f>
        <v>-</v>
      </c>
      <c r="T51" s="212" t="n">
        <f aca="true">OFFSET(CÁLCULO!H$15,ROW($T51)-ROW(T$15),0)</f>
        <v>300</v>
      </c>
      <c r="U51" s="213" t="n">
        <f aca="false">AG51</f>
        <v>0</v>
      </c>
      <c r="V51" s="214" t="s">
        <v>723</v>
      </c>
      <c r="W51" s="212" t="n">
        <f aca="false" t="array" ref="W51:W51">IF($C51="S",ROUND(IF(TIPOORCAMENTO="Proposto",ORÇAMENTO.CustoUnitario*(1+$AH51),ORÇAMENTO.PrecoUnitarioLicitado),15-13*$AF$10),0)</f>
        <v>0</v>
      </c>
      <c r="X51" s="215" t="n">
        <f aca="true" t="array" ref="X51:X51">IF($C51="S",IF(OR(Import.TipoArredondamento&lt;&gt;"TransfereGOV",ACOMPANHAMENTO="BM"),VTOTAL1,SUM(OFFSET(CÁLCULO!$AA$15,ROW($X51)-ROW($X$15),1):OFFSET(CÁLCULO!$AL$15,ROW($X51)-ROW($X$15),-1))),IF($C51=0,0,ROUND(SomaAgrup,15-13*$AF$11)))</f>
        <v>0</v>
      </c>
      <c r="Y51" s="216" t="s">
        <v>776</v>
      </c>
      <c r="Z51" s="0" t="str">
        <f aca="false">IF(AND($C51="S",$X51&gt;0),IF(ISBLANK($Y51),"RA",LEFT($Y51,2)),"")</f>
        <v/>
      </c>
      <c r="AA51" s="217" t="n">
        <f aca="true" t="array" ref="AA51:AA51">IF($C51="S",IF($Z51="CP",$X51,IF($Z51="RA",(($X51)*QCI!$AA$3),0)),SomaAgrup)</f>
        <v>0</v>
      </c>
      <c r="AB51" s="218" t="n">
        <f aca="true" t="array" ref="AB51:AB51">IF($C51="S",IF($Z51="OU",ROUND($X51,2),0),SomaAgrup)</f>
        <v>0</v>
      </c>
      <c r="AC51" s="219" t="str">
        <f aca="false" t="array" ref="AC51:AC51">IF($N51=""," ",
IF(AND($C51&lt;&gt;"S",OR($R51="",$R51="(digite a descrição aqui)")),"DESCRIÇÃO",
IF(AND($C51="S",OR($Q51&lt;&gt;"",$T51&gt;0,$U51&gt;0),$P51=""),"FONTE",
IF(AND($C51="S",$P51&lt;&gt;"",OR($T51&gt;0,$U51&gt;0),$Q51=""),"CÓDIGO",
IF(AND($C51="S",$P51&lt;&gt;"",$Q51&lt;&gt;"",$R51="(Código não identificado nas referências)"),"CÓDIGO N/ID",
IF(AND($C51="S",OR($R51="",$R51="(digite a descrição aqui)"),OR($Q51&lt;&gt;"",$T51&gt;0,$U51&gt;0)),"DESCRIÇÃO",
IF(AND($C51="S",$P51&lt;&gt;"",$Q51&lt;&gt;"",$S51=""),"UNIDADE",
IF(AND($C51="S",$P51&lt;&gt;"",$Q51&lt;&gt;"",$U51=0),"SEM CUSTO",
IF(AND(TIPOORCAMENTO="Licitado",$AL51=0,$AN51&gt;0),"SEM PREÇO",
IF(AND($C51="S",$P51&lt;&gt;"",$Q51&lt;&gt;"",$U51&gt;0,AND($V51&lt;&gt;"BDI 1",$V51&lt;&gt;"BDI 2",$V51&lt;&gt;"BDI 3")),IF(ISNUMBER($V51),"JUSTIFICAR BDI","BDI"),
IF(OR(AND(import.recurso="OGU",TIPOORCAMENTO="Proposto",LEFT($O$8,5)&lt;&gt;"(N/D:",$AG51&lt;&gt;"",ORÇAMENTO.CustoUnitario&gt;$AG51),AND(TIPOORCAMENTO="LICITADO",ORÇAMENTO.PrecoUnitarioLicitado&gt;$AN51)),"ACIMA REF.",
IF(AND($C51="S",$P51&lt;&gt;"",$Q51&lt;&gt;"",$T51=0,$U51&gt;0),"QUANT.",
IF(AND(Import.TipoArredondamento="TransfereGOV",$L51="F",$C51="S",LEN($Q51)&gt;13),"Código &gt;13",
IF(AND(Import.TipoArredondamento="TransfereGOV",$L51="F",$C51&lt;&gt;"S",LEN($R51)&gt;100),"Descrição &gt;100",
IF(AND(Import.TipoArredondamento="TransfereGOV",$L51="F",$C51="S",LEN($R51)&gt;500),"Descrição &gt;500",
IF(AND(Import.TipoArredondamento="TransfereGOV",$L51="F",$C51="S",LEFT(TRIM(UPPER($P51)),6)&lt;&gt;"SINAPI",ISNA(VLOOKUP(TRIM(UPPER($S51)),ListaTgov.Unidades,1,FALSE()))),"Unid. Não Disp",
" "))))))))))))))))</f>
        <v>CÓDIGO N/ID</v>
      </c>
      <c r="AD51" s="0" t="str">
        <f aca="true">IF(C51&lt;=CRONO.NivelExibicao,MAX($AD$15:OFFSET(AD51,-1,0))+IF($C51&lt;&gt;1,1,MAX(1,COUNTIF(QCI!$A$13:$A$24,OFFSET($E51,-1,0)))),"")</f>
        <v/>
      </c>
      <c r="AE51" s="48" t="str">
        <f aca="false" t="array" ref="AE51:AE51">IF(AND($C51="S",ORÇAMENTO.CodBarra&lt;&gt;""),IF(ORÇAMENTO.Fonte="",ORÇAMENTO.CodBarra,CONCATENATE(ORÇAMENTO.Fonte," ",ORÇAMENTO.CodBarra)))</f>
        <v>SINAPI 102498</v>
      </c>
      <c r="AF51" s="63" t="str">
        <f aca="true" t="array" ref="AF51:AF51">IF(ISERROR(ORÇAMENTO.BancoRef),"(abra o arquivo 'Referência "&amp;Excel_BuiltIn_Database&amp;".xlsm)",IF(OR($C51&lt;&gt;"S",ORÇAMENTO.CodBarra=""),"(Sem Código)",IF(ISERROR(MATCH($AE51,INDIRECT(ORÇAMENTO.BancoRef),0)),"(Código não identificado nas referências)",MATCH($AE51,INDIRECT(ORÇAMENTO.BancoRef),0))))</f>
        <v>(Código não identificado nas referências)</v>
      </c>
      <c r="AG51" s="220" t="n">
        <f aca="true" t="array" ref="AG51:AG51">ROUND(IF(DESONERACAO="sim",REFERENCIA.Desonerado,REFERENCIA.NaoDesonerado),2)</f>
        <v>0</v>
      </c>
      <c r="AH51" s="221" t="n">
        <f aca="false">ROUND(IF(ISNUMBER(ORÇAMENTO.OpcaoBDI),ORÇAMENTO.OpcaoBDI,IF(LEFT(ORÇAMENTO.OpcaoBDI,3)="BDI",HLOOKUP(ORÇAMENTO.OpcaoBDI,$F$4:$H$5,2,FALSE()),0)),15-11*$AF$9)</f>
        <v>0.25</v>
      </c>
      <c r="AJ51" s="222" t="n">
        <v>300</v>
      </c>
      <c r="AL51" s="223"/>
      <c r="AM51" s="224" t="n">
        <f aca="false">$X51</f>
        <v>0</v>
      </c>
      <c r="AN51" s="225" t="n">
        <f aca="false" t="array" ref="AN51:AN51">ROUND(ORÇAMENTO.CustoUnitario*(1+$AH51),2)</f>
        <v>0</v>
      </c>
    </row>
    <row r="52" customFormat="false" ht="12.75" hidden="false" customHeight="false" outlineLevel="0" collapsed="false">
      <c r="A52" s="0" t="n">
        <f aca="false">CHOOSE(1+LOG(1+2*(ORÇAMENTO.Nivel="Meta")+4*(ORÇAMENTO.Nivel="Nível 2")+8*(ORÇAMENTO.Nivel="Nível 3")+16*(ORÇAMENTO.Nivel="Nível 4")+32*(ORÇAMENTO.Nivel="Serviço"),2),0,1,2,3,4,"S")</f>
        <v>2</v>
      </c>
      <c r="B52" s="0" t="n">
        <f aca="true">IF(OR(C52="s",C52=0),OFFSET(B52,-1,0),C52)</f>
        <v>2</v>
      </c>
      <c r="C52" s="0" t="n">
        <f aca="true">IF(OFFSET(C52,-1,0)="L",1,IF(OFFSET(C52,-1,0)=1,2,IF(OR(A52="s",A52=0),"S",IF(AND(OFFSET(C52,-1,0)=2,A52=4),3,IF(AND(OR(OFFSET(C52,-1,0)="s",OFFSET(C52,-1,0)=0),A52&lt;&gt;"s",A52&gt;OFFSET(B52,-1,0)),OFFSET(B52,-1,0),A52)))))</f>
        <v>2</v>
      </c>
      <c r="D52" s="0" t="n">
        <f aca="false">IF(OR(C52="S",C52=0),0,IF(ISERROR(K52),J52,SMALL(J52:K52,1)))</f>
        <v>3</v>
      </c>
      <c r="E52" s="0" t="n">
        <f aca="true">IF($C52=1,OFFSET(E52,-1,0)+MAX(1,COUNTIF(QCI!$A$13:$A$24,OFFSET(ORÇAMENTO!E52,-1,0))),OFFSET(E52,-1,0))</f>
        <v>1</v>
      </c>
      <c r="F52" s="0" t="n">
        <f aca="true">IF($C52=1,0,IF($C52=2,OFFSET(F52,-1,0)+1,OFFSET(F52,-1,0)))</f>
        <v>10</v>
      </c>
      <c r="G52" s="0" t="n">
        <f aca="true">IF(AND($C52&lt;=2,$C52&lt;&gt;0),0,IF($C52=3,OFFSET(G52,-1,0)+1,OFFSET(G52,-1,0)))</f>
        <v>0</v>
      </c>
      <c r="H52" s="0" t="n">
        <f aca="true">IF(AND($C52&lt;=3,$C52&lt;&gt;0),0,IF($C52=4,OFFSET(H52,-1,0)+1,OFFSET(H52,-1,0)))</f>
        <v>0</v>
      </c>
      <c r="I52" s="0" t="n">
        <f aca="true">IF(AND($C52&lt;=4,$C52&lt;&gt;0),0,IF(AND($C52="S",$X52&gt;0),OFFSET(I52,-1,0)+1,OFFSET(I52,-1,0)))</f>
        <v>0</v>
      </c>
      <c r="J52" s="0" t="n">
        <f aca="true">IF(OR($C52="S",$C52=0),0,MATCH(0,OFFSET($D52,1,$C52,ROW($C$59)-ROW($C52)),0))</f>
        <v>7</v>
      </c>
      <c r="K52" s="0" t="n">
        <f aca="true">IF(OR($C52="S",$C52=0),0,MATCH(OFFSET($D52,0,$C52)+IF($C52&lt;&gt;1,1,COUNTIF(QCI!$A$13:$A$24,ORÇAMENTO!E52)),OFFSET($D52,1,$C52,ROW($C$59)-ROW($C52)),0))</f>
        <v>3</v>
      </c>
      <c r="L52" s="204" t="str">
        <f aca="false">IF(OR($X52&gt;0,$C52=1,$C52=2,$C52=3,$C52=4),"F","")</f>
        <v>F</v>
      </c>
      <c r="M52" s="205" t="s">
        <v>764</v>
      </c>
      <c r="N52" s="206" t="str">
        <f aca="false">CHOOSE(1+LOG(1+2*(C52=1)+4*(C52=2)+8*(C52=3)+16*(C52=4)+32*(C52="S"),2),"","Meta","Nível 2","Nível 3","Nível 4","Serviço")</f>
        <v>Nível 2</v>
      </c>
      <c r="O52" s="207" t="str">
        <f aca="false">IF(OR($C52=0,$L52=""),"-",CONCATENATE(E52&amp;".",IF(AND($A$5&gt;=2,$C52&gt;=2),F52&amp;".",""),IF(AND($A$5&gt;=3,$C52&gt;=3),G52&amp;".",""),IF(AND($A$5&gt;=4,$C52&gt;=4),H52&amp;".",""),IF($C52="S",I52&amp;".","")))</f>
        <v>1.10.</v>
      </c>
      <c r="P52" s="208" t="s">
        <v>768</v>
      </c>
      <c r="Q52" s="241"/>
      <c r="R52" s="210" t="s">
        <v>860</v>
      </c>
      <c r="S52" s="211" t="str">
        <f aca="true" t="array" ref="S52:S52">REFERENCIA.Unidade</f>
        <v>-</v>
      </c>
      <c r="T52" s="212" t="n">
        <f aca="true">OFFSET(CÁLCULO!H$15,ROW($T52)-ROW(T$15),0)</f>
        <v>0</v>
      </c>
      <c r="U52" s="213" t="n">
        <f aca="false">AG52</f>
        <v>0</v>
      </c>
      <c r="V52" s="214" t="s">
        <v>723</v>
      </c>
      <c r="W52" s="212" t="n">
        <f aca="false" t="array" ref="W52:W52">IF($C52="S",ROUND(IF(TIPOORCAMENTO="Proposto",ORÇAMENTO.CustoUnitario*(1+$AH52),ORÇAMENTO.PrecoUnitarioLicitado),15-13*$AF$10),0)</f>
        <v>0</v>
      </c>
      <c r="X52" s="215" t="n">
        <f aca="true" t="array" ref="X52:X52">IF($C52="S",IF(OR(Import.TipoArredondamento&lt;&gt;"TransfereGOV",ACOMPANHAMENTO="BM"),VTOTAL1,SUM(OFFSET(CÁLCULO!$AA$15,ROW($X52)-ROW($X$15),1):OFFSET(CÁLCULO!$AL$15,ROW($X52)-ROW($X$15),-1))),IF($C52=0,0,ROUND(SomaAgrup,15-13*$AF$11)))</f>
        <v>0</v>
      </c>
      <c r="Y52" s="216" t="s">
        <v>776</v>
      </c>
      <c r="Z52" s="0" t="str">
        <f aca="false">IF(AND($C52="S",$X52&gt;0),IF(ISBLANK($Y52),"RA",LEFT($Y52,2)),"")</f>
        <v/>
      </c>
      <c r="AA52" s="217" t="n">
        <f aca="true" t="array" ref="AA52:AA52">IF($C52="S",IF($Z52="CP",$X52,IF($Z52="RA",(($X52)*QCI!$AA$3),0)),SomaAgrup)</f>
        <v>0</v>
      </c>
      <c r="AB52" s="218" t="n">
        <f aca="true" t="array" ref="AB52:AB52">IF($C52="S",IF($Z52="OU",ROUND($X52,2),0),SomaAgrup)</f>
        <v>0</v>
      </c>
      <c r="AC52" s="219" t="str">
        <f aca="false" t="array" ref="AC52:AC52">IF($N52=""," ",
IF(AND($C52&lt;&gt;"S",OR($R52="",$R52="(digite a descrição aqui)")),"DESCRIÇÃO",
IF(AND($C52="S",OR($Q52&lt;&gt;"",$T52&gt;0,$U52&gt;0),$P52=""),"FONTE",
IF(AND($C52="S",$P52&lt;&gt;"",OR($T52&gt;0,$U52&gt;0),$Q52=""),"CÓDIGO",
IF(AND($C52="S",$P52&lt;&gt;"",$Q52&lt;&gt;"",$R52="(Código não identificado nas referências)"),"CÓDIGO N/ID",
IF(AND($C52="S",OR($R52="",$R52="(digite a descrição aqui)"),OR($Q52&lt;&gt;"",$T52&gt;0,$U52&gt;0)),"DESCRIÇÃO",
IF(AND($C52="S",$P52&lt;&gt;"",$Q52&lt;&gt;"",$S52=""),"UNIDADE",
IF(AND($C52="S",$P52&lt;&gt;"",$Q52&lt;&gt;"",$U52=0),"SEM CUSTO",
IF(AND(TIPOORCAMENTO="Licitado",$AL52=0,$AN52&gt;0),"SEM PREÇO",
IF(AND($C52="S",$P52&lt;&gt;"",$Q52&lt;&gt;"",$U52&gt;0,AND($V52&lt;&gt;"BDI 1",$V52&lt;&gt;"BDI 2",$V52&lt;&gt;"BDI 3")),IF(ISNUMBER($V52),"JUSTIFICAR BDI","BDI"),
IF(OR(AND(import.recurso="OGU",TIPOORCAMENTO="Proposto",LEFT($O$8,5)&lt;&gt;"(N/D:",$AG52&lt;&gt;"",ORÇAMENTO.CustoUnitario&gt;$AG52),AND(TIPOORCAMENTO="LICITADO",ORÇAMENTO.PrecoUnitarioLicitado&gt;$AN52)),"ACIMA REF.",
IF(AND($C52="S",$P52&lt;&gt;"",$Q52&lt;&gt;"",$T52=0,$U52&gt;0),"QUANT.",
IF(AND(Import.TipoArredondamento="TransfereGOV",$L52="F",$C52="S",LEN($Q52)&gt;13),"Código &gt;13",
IF(AND(Import.TipoArredondamento="TransfereGOV",$L52="F",$C52&lt;&gt;"S",LEN($R52)&gt;100),"Descrição &gt;100",
IF(AND(Import.TipoArredondamento="TransfereGOV",$L52="F",$C52="S",LEN($R52)&gt;500),"Descrição &gt;500",
IF(AND(Import.TipoArredondamento="TransfereGOV",$L52="F",$C52="S",LEFT(TRIM(UPPER($P52)),6)&lt;&gt;"SINAPI",ISNA(VLOOKUP(TRIM(UPPER($S52)),ListaTgov.Unidades,1,FALSE()))),"Unid. Não Disp",
" "))))))))))))))))</f>
        <v> </v>
      </c>
      <c r="AD52" s="0" t="n">
        <f aca="true">IF(C52&lt;=CRONO.NivelExibicao,MAX($AD$15:OFFSET(AD52,-1,0))+IF($C52&lt;&gt;1,1,MAX(1,COUNTIF(QCI!$A$13:$A$24,OFFSET($E52,-1,0)))),"")</f>
        <v>11</v>
      </c>
      <c r="AE52" s="48" t="n">
        <f aca="false" t="array" ref="AE52:AE52">IF(AND($C52="S",ORÇAMENTO.CodBarra&lt;&gt;""),IF(ORÇAMENTO.Fonte="",ORÇAMENTO.CodBarra,CONCATENATE(ORÇAMENTO.Fonte," ",ORÇAMENTO.CodBarra)))</f>
        <v>0</v>
      </c>
      <c r="AF52" s="63" t="str">
        <f aca="true" t="array" ref="AF52:AF52">IF(ISERROR(ORÇAMENTO.BancoRef),"(abra o arquivo 'Referência "&amp;Excel_BuiltIn_Database&amp;".xlsm)",IF(OR($C52&lt;&gt;"S",ORÇAMENTO.CodBarra=""),"(Sem Código)",IF(ISERROR(MATCH($AE52,INDIRECT(ORÇAMENTO.BancoRef),0)),"(Código não identificado nas referências)",MATCH($AE52,INDIRECT(ORÇAMENTO.BancoRef),0))))</f>
        <v>(Sem Código)</v>
      </c>
      <c r="AG52" s="220" t="n">
        <f aca="true" t="array" ref="AG52:AG52">ROUND(IF(DESONERACAO="sim",REFERENCIA.Desonerado,REFERENCIA.NaoDesonerado),2)</f>
        <v>0</v>
      </c>
      <c r="AH52" s="221" t="n">
        <f aca="false">ROUND(IF(ISNUMBER(ORÇAMENTO.OpcaoBDI),ORÇAMENTO.OpcaoBDI,IF(LEFT(ORÇAMENTO.OpcaoBDI,3)="BDI",HLOOKUP(ORÇAMENTO.OpcaoBDI,$F$4:$H$5,2,FALSE()),0)),15-11*$AF$9)</f>
        <v>0.25</v>
      </c>
      <c r="AJ52" s="222"/>
      <c r="AL52" s="223"/>
      <c r="AM52" s="224" t="n">
        <f aca="false">$X52</f>
        <v>0</v>
      </c>
      <c r="AN52" s="225" t="n">
        <f aca="false" t="array" ref="AN52:AN52">ROUND(ORÇAMENTO.CustoUnitario*(1+$AH52),2)</f>
        <v>0</v>
      </c>
    </row>
    <row r="53" customFormat="false" ht="12.75" hidden="false" customHeight="false" outlineLevel="0" collapsed="false">
      <c r="A53" s="0" t="str">
        <f aca="false">CHOOSE(1+LOG(1+2*(ORÇAMENTO.Nivel="Meta")+4*(ORÇAMENTO.Nivel="Nível 2")+8*(ORÇAMENTO.Nivel="Nível 3")+16*(ORÇAMENTO.Nivel="Nível 4")+32*(ORÇAMENTO.Nivel="Serviço"),2),0,1,2,3,4,"S")</f>
        <v>S</v>
      </c>
      <c r="B53" s="0" t="n">
        <f aca="true">IF(OR(C53="s",C53=0),OFFSET(B53,-1,0),C53)</f>
        <v>2</v>
      </c>
      <c r="C53" s="0" t="str">
        <f aca="true">IF(OFFSET(C53,-1,0)="L",1,IF(OFFSET(C53,-1,0)=1,2,IF(OR(A53="s",A53=0),"S",IF(AND(OFFSET(C53,-1,0)=2,A53=4),3,IF(AND(OR(OFFSET(C53,-1,0)="s",OFFSET(C53,-1,0)=0),A53&lt;&gt;"s",A53&gt;OFFSET(B53,-1,0)),OFFSET(B53,-1,0),A53)))))</f>
        <v>S</v>
      </c>
      <c r="D53" s="0" t="n">
        <f aca="false">IF(OR(C53="S",C53=0),0,IF(ISERROR(K53),J53,SMALL(J53:K53,1)))</f>
        <v>0</v>
      </c>
      <c r="E53" s="0" t="n">
        <f aca="true">IF($C53=1,OFFSET(E53,-1,0)+MAX(1,COUNTIF(QCI!$A$13:$A$24,OFFSET(ORÇAMENTO!E53,-1,0))),OFFSET(E53,-1,0))</f>
        <v>1</v>
      </c>
      <c r="F53" s="0" t="n">
        <f aca="true">IF($C53=1,0,IF($C53=2,OFFSET(F53,-1,0)+1,OFFSET(F53,-1,0)))</f>
        <v>10</v>
      </c>
      <c r="G53" s="0" t="n">
        <f aca="true">IF(AND($C53&lt;=2,$C53&lt;&gt;0),0,IF($C53=3,OFFSET(G53,-1,0)+1,OFFSET(G53,-1,0)))</f>
        <v>0</v>
      </c>
      <c r="H53" s="0" t="n">
        <f aca="true">IF(AND($C53&lt;=3,$C53&lt;&gt;0),0,IF($C53=4,OFFSET(H53,-1,0)+1,OFFSET(H53,-1,0)))</f>
        <v>0</v>
      </c>
      <c r="I53" s="0" t="n">
        <f aca="true">IF(AND($C53&lt;=4,$C53&lt;&gt;0),0,IF(AND($C53="S",$X53&gt;0),OFFSET(I53,-1,0)+1,OFFSET(I53,-1,0)))</f>
        <v>0</v>
      </c>
      <c r="J53" s="0" t="n">
        <f aca="true">IF(OR($C53="S",$C53=0),0,MATCH(0,OFFSET($D53,1,$C53,ROW($C$59)-ROW($C53)),0))</f>
        <v>0</v>
      </c>
      <c r="K53" s="0" t="n">
        <f aca="true">IF(OR($C53="S",$C53=0),0,MATCH(OFFSET($D53,0,$C53)+IF($C53&lt;&gt;1,1,COUNTIF(QCI!$A$13:$A$24,ORÇAMENTO!E53)),OFFSET($D53,1,$C53,ROW($C$59)-ROW($C53)),0))</f>
        <v>0</v>
      </c>
      <c r="L53" s="204" t="str">
        <f aca="false">IF(OR($X53&gt;0,$C53=1,$C53=2,$C53=3,$C53=4),"F","")</f>
        <v/>
      </c>
      <c r="M53" s="205" t="s">
        <v>767</v>
      </c>
      <c r="N53" s="206" t="str">
        <f aca="false">CHOOSE(1+LOG(1+2*(C53=1)+4*(C53=2)+8*(C53=3)+16*(C53=4)+32*(C53="S"),2),"","Meta","Nível 2","Nível 3","Nível 4","Serviço")</f>
        <v>Serviço</v>
      </c>
      <c r="O53" s="207" t="str">
        <f aca="false">IF(OR($C53=0,$L53=""),"-",CONCATENATE(E53&amp;".",IF(AND($A$5&gt;=2,$C53&gt;=2),F53&amp;".",""),IF(AND($A$5&gt;=3,$C53&gt;=3),G53&amp;".",""),IF(AND($A$5&gt;=4,$C53&gt;=4),H53&amp;".",""),IF($C53="S",I53&amp;".","")))</f>
        <v>-</v>
      </c>
      <c r="P53" s="208" t="s">
        <v>770</v>
      </c>
      <c r="Q53" s="241" t="s">
        <v>861</v>
      </c>
      <c r="R53" s="210" t="str">
        <f aca="true" t="array" ref="R53:R53">IF($C53="S",REFERENCIA.Descricao,"(digite a descrição aqui)")</f>
        <v>(Código não identificado nas referências)</v>
      </c>
      <c r="S53" s="211" t="s">
        <v>683</v>
      </c>
      <c r="T53" s="212" t="n">
        <f aca="true">OFFSET(CÁLCULO!H$15,ROW($T53)-ROW(T$15),0)</f>
        <v>250</v>
      </c>
      <c r="U53" s="213" t="n">
        <f aca="false">AG53</f>
        <v>0</v>
      </c>
      <c r="V53" s="214" t="s">
        <v>723</v>
      </c>
      <c r="W53" s="212" t="n">
        <f aca="false" t="array" ref="W53:W53">IF($C53="S",ROUND(IF(TIPOORCAMENTO="Proposto",ORÇAMENTO.CustoUnitario*(1+$AH53),ORÇAMENTO.PrecoUnitarioLicitado),15-13*$AF$10),0)</f>
        <v>0</v>
      </c>
      <c r="X53" s="215" t="n">
        <f aca="true" t="array" ref="X53:X53">IF($C53="S",IF(OR(Import.TipoArredondamento&lt;&gt;"TransfereGOV",ACOMPANHAMENTO="BM"),VTOTAL1,SUM(OFFSET(CÁLCULO!$AA$15,ROW($X53)-ROW($X$15),1):OFFSET(CÁLCULO!$AL$15,ROW($X53)-ROW($X$15),-1))),IF($C53=0,0,ROUND(SomaAgrup,15-13*$AF$11)))</f>
        <v>0</v>
      </c>
      <c r="Y53" s="216" t="s">
        <v>776</v>
      </c>
      <c r="Z53" s="0" t="str">
        <f aca="false">IF(AND($C53="S",$X53&gt;0),IF(ISBLANK($Y53),"RA",LEFT($Y53,2)),"")</f>
        <v/>
      </c>
      <c r="AA53" s="217" t="n">
        <f aca="true" t="array" ref="AA53:AA53">IF($C53="S",IF($Z53="CP",$X53,IF($Z53="RA",(($X53)*QCI!$AA$3),0)),SomaAgrup)</f>
        <v>0</v>
      </c>
      <c r="AB53" s="218" t="n">
        <f aca="true" t="array" ref="AB53:AB53">IF($C53="S",IF($Z53="OU",ROUND($X53,2),0),SomaAgrup)</f>
        <v>0</v>
      </c>
      <c r="AC53" s="219" t="str">
        <f aca="false" t="array" ref="AC53:AC53">IF($N53=""," ",
IF(AND($C53&lt;&gt;"S",OR($R53="",$R53="(digite a descrição aqui)")),"DESCRIÇÃO",
IF(AND($C53="S",OR($Q53&lt;&gt;"",$T53&gt;0,$U53&gt;0),$P53=""),"FONTE",
IF(AND($C53="S",$P53&lt;&gt;"",OR($T53&gt;0,$U53&gt;0),$Q53=""),"CÓDIGO",
IF(AND($C53="S",$P53&lt;&gt;"",$Q53&lt;&gt;"",$R53="(Código não identificado nas referências)"),"CÓDIGO N/ID",
IF(AND($C53="S",OR($R53="",$R53="(digite a descrição aqui)"),OR($Q53&lt;&gt;"",$T53&gt;0,$U53&gt;0)),"DESCRIÇÃO",
IF(AND($C53="S",$P53&lt;&gt;"",$Q53&lt;&gt;"",$S53=""),"UNIDADE",
IF(AND($C53="S",$P53&lt;&gt;"",$Q53&lt;&gt;"",$U53=0),"SEM CUSTO",
IF(AND(TIPOORCAMENTO="Licitado",$AL53=0,$AN53&gt;0),"SEM PREÇO",
IF(AND($C53="S",$P53&lt;&gt;"",$Q53&lt;&gt;"",$U53&gt;0,AND($V53&lt;&gt;"BDI 1",$V53&lt;&gt;"BDI 2",$V53&lt;&gt;"BDI 3")),IF(ISNUMBER($V53),"JUSTIFICAR BDI","BDI"),
IF(OR(AND(import.recurso="OGU",TIPOORCAMENTO="Proposto",LEFT($O$8,5)&lt;&gt;"(N/D:",$AG53&lt;&gt;"",ORÇAMENTO.CustoUnitario&gt;$AG53),AND(TIPOORCAMENTO="LICITADO",ORÇAMENTO.PrecoUnitarioLicitado&gt;$AN53)),"ACIMA REF.",
IF(AND($C53="S",$P53&lt;&gt;"",$Q53&lt;&gt;"",$T53=0,$U53&gt;0),"QUANT.",
IF(AND(Import.TipoArredondamento="TransfereGOV",$L53="F",$C53="S",LEN($Q53)&gt;13),"Código &gt;13",
IF(AND(Import.TipoArredondamento="TransfereGOV",$L53="F",$C53&lt;&gt;"S",LEN($R53)&gt;100),"Descrição &gt;100",
IF(AND(Import.TipoArredondamento="TransfereGOV",$L53="F",$C53="S",LEN($R53)&gt;500),"Descrição &gt;500",
IF(AND(Import.TipoArredondamento="TransfereGOV",$L53="F",$C53="S",LEFT(TRIM(UPPER($P53)),6)&lt;&gt;"SINAPI",ISNA(VLOOKUP(TRIM(UPPER($S53)),ListaTgov.Unidades,1,FALSE()))),"Unid. Não Disp",
" "))))))))))))))))</f>
        <v>CÓDIGO N/ID</v>
      </c>
      <c r="AD53" s="0" t="str">
        <f aca="true">IF(C53&lt;=CRONO.NivelExibicao,MAX($AD$15:OFFSET(AD53,-1,0))+IF($C53&lt;&gt;1,1,MAX(1,COUNTIF(QCI!$A$13:$A$24,OFFSET($E53,-1,0)))),"")</f>
        <v/>
      </c>
      <c r="AE53" s="48" t="str">
        <f aca="false" t="array" ref="AE53:AE53">IF(AND($C53="S",ORÇAMENTO.CodBarra&lt;&gt;""),IF(ORÇAMENTO.Fonte="",ORÇAMENTO.CodBarra,CONCATENATE(ORÇAMENTO.Fonte," ",ORÇAMENTO.CodBarra)))</f>
        <v>SICRO 4413200</v>
      </c>
      <c r="AF53" s="63" t="str">
        <f aca="true" t="array" ref="AF53:AF53">IF(ISERROR(ORÇAMENTO.BancoRef),"(abra o arquivo 'Referência "&amp;Excel_BuiltIn_Database&amp;".xlsm)",IF(OR($C53&lt;&gt;"S",ORÇAMENTO.CodBarra=""),"(Sem Código)",IF(ISERROR(MATCH($AE53,INDIRECT(ORÇAMENTO.BancoRef),0)),"(Código não identificado nas referências)",MATCH($AE53,INDIRECT(ORÇAMENTO.BancoRef),0))))</f>
        <v>(Código não identificado nas referências)</v>
      </c>
      <c r="AG53" s="220" t="n">
        <f aca="true" t="array" ref="AG53:AG53">ROUND(IF(DESONERACAO="sim",REFERENCIA.Desonerado,REFERENCIA.NaoDesonerado),2)</f>
        <v>0</v>
      </c>
      <c r="AH53" s="221" t="n">
        <f aca="false">ROUND(IF(ISNUMBER(ORÇAMENTO.OpcaoBDI),ORÇAMENTO.OpcaoBDI,IF(LEFT(ORÇAMENTO.OpcaoBDI,3)="BDI",HLOOKUP(ORÇAMENTO.OpcaoBDI,$F$4:$H$5,2,FALSE()),0)),15-11*$AF$9)</f>
        <v>0.25</v>
      </c>
      <c r="AJ53" s="222" t="n">
        <f aca="false">100*1.5+100</f>
        <v>250</v>
      </c>
      <c r="AL53" s="223"/>
      <c r="AM53" s="224" t="n">
        <f aca="false">$X53</f>
        <v>0</v>
      </c>
      <c r="AN53" s="225" t="n">
        <f aca="false" t="array" ref="AN53:AN53">ROUND(ORÇAMENTO.CustoUnitario*(1+$AH53),2)</f>
        <v>0</v>
      </c>
    </row>
    <row r="54" customFormat="false" ht="12.75" hidden="false" customHeight="false" outlineLevel="0" collapsed="false">
      <c r="A54" s="0" t="str">
        <f aca="false">CHOOSE(1+LOG(1+2*(ORÇAMENTO.Nivel="Meta")+4*(ORÇAMENTO.Nivel="Nível 2")+8*(ORÇAMENTO.Nivel="Nível 3")+16*(ORÇAMENTO.Nivel="Nível 4")+32*(ORÇAMENTO.Nivel="Serviço"),2),0,1,2,3,4,"S")</f>
        <v>S</v>
      </c>
      <c r="B54" s="0" t="n">
        <f aca="true">IF(OR(C54="s",C54=0),OFFSET(B54,-1,0),C54)</f>
        <v>2</v>
      </c>
      <c r="C54" s="0" t="str">
        <f aca="true">IF(OFFSET(C54,-1,0)="L",1,IF(OFFSET(C54,-1,0)=1,2,IF(OR(A54="s",A54=0),"S",IF(AND(OFFSET(C54,-1,0)=2,A54=4),3,IF(AND(OR(OFFSET(C54,-1,0)="s",OFFSET(C54,-1,0)=0),A54&lt;&gt;"s",A54&gt;OFFSET(B54,-1,0)),OFFSET(B54,-1,0),A54)))))</f>
        <v>S</v>
      </c>
      <c r="D54" s="0" t="n">
        <f aca="false">IF(OR(C54="S",C54=0),0,IF(ISERROR(K54),J54,SMALL(J54:K54,1)))</f>
        <v>0</v>
      </c>
      <c r="E54" s="0" t="n">
        <f aca="true">IF($C54=1,OFFSET(E54,-1,0)+MAX(1,COUNTIF(QCI!$A$13:$A$24,OFFSET(ORÇAMENTO!E54,-1,0))),OFFSET(E54,-1,0))</f>
        <v>1</v>
      </c>
      <c r="F54" s="0" t="n">
        <f aca="true">IF($C54=1,0,IF($C54=2,OFFSET(F54,-1,0)+1,OFFSET(F54,-1,0)))</f>
        <v>10</v>
      </c>
      <c r="G54" s="0" t="n">
        <f aca="true">IF(AND($C54&lt;=2,$C54&lt;&gt;0),0,IF($C54=3,OFFSET(G54,-1,0)+1,OFFSET(G54,-1,0)))</f>
        <v>0</v>
      </c>
      <c r="H54" s="0" t="n">
        <f aca="true">IF(AND($C54&lt;=3,$C54&lt;&gt;0),0,IF($C54=4,OFFSET(H54,-1,0)+1,OFFSET(H54,-1,0)))</f>
        <v>0</v>
      </c>
      <c r="I54" s="0" t="n">
        <f aca="true">IF(AND($C54&lt;=4,$C54&lt;&gt;0),0,IF(AND($C54="S",$X54&gt;0),OFFSET(I54,-1,0)+1,OFFSET(I54,-1,0)))</f>
        <v>0</v>
      </c>
      <c r="J54" s="0" t="n">
        <f aca="true">IF(OR($C54="S",$C54=0),0,MATCH(0,OFFSET($D54,1,$C54,ROW($C$59)-ROW($C54)),0))</f>
        <v>0</v>
      </c>
      <c r="K54" s="0" t="n">
        <f aca="true">IF(OR($C54="S",$C54=0),0,MATCH(OFFSET($D54,0,$C54)+IF($C54&lt;&gt;1,1,COUNTIF(QCI!$A$13:$A$24,ORÇAMENTO!E54)),OFFSET($D54,1,$C54,ROW($C$59)-ROW($C54)),0))</f>
        <v>0</v>
      </c>
      <c r="L54" s="204" t="str">
        <f aca="false">IF(OR($X54&gt;0,$C54=1,$C54=2,$C54=3,$C54=4),"F","")</f>
        <v/>
      </c>
      <c r="M54" s="205" t="s">
        <v>767</v>
      </c>
      <c r="N54" s="206" t="str">
        <f aca="false">CHOOSE(1+LOG(1+2*(C54=1)+4*(C54=2)+8*(C54=3)+16*(C54=4)+32*(C54="S"),2),"","Meta","Nível 2","Nível 3","Nível 4","Serviço")</f>
        <v>Serviço</v>
      </c>
      <c r="O54" s="207" t="str">
        <f aca="false">IF(OR($C54=0,$L54=""),"-",CONCATENATE(E54&amp;".",IF(AND($A$5&gt;=2,$C54&gt;=2),F54&amp;".",""),IF(AND($A$5&gt;=3,$C54&gt;=3),G54&amp;".",""),IF(AND($A$5&gt;=4,$C54&gt;=4),H54&amp;".",""),IF($C54="S",I54&amp;".","")))</f>
        <v>-</v>
      </c>
      <c r="P54" s="208" t="s">
        <v>772</v>
      </c>
      <c r="Q54" s="241" t="s">
        <v>862</v>
      </c>
      <c r="R54" s="210" t="str">
        <f aca="true" t="array" ref="R54:R54">IF($C54="S",REFERENCIA.Descricao,"(digite a descrição aqui)")</f>
        <v>(Código não identificado nas referências)</v>
      </c>
      <c r="S54" s="211" t="str">
        <f aca="true" t="array" ref="S54:S54">REFERENCIA.Unidade</f>
        <v>-</v>
      </c>
      <c r="T54" s="212" t="n">
        <f aca="true">OFFSET(CÁLCULO!H$15,ROW($T54)-ROW(T$15),0)</f>
        <v>50</v>
      </c>
      <c r="U54" s="213" t="n">
        <f aca="false">AG54</f>
        <v>0</v>
      </c>
      <c r="V54" s="214" t="s">
        <v>723</v>
      </c>
      <c r="W54" s="212" t="n">
        <f aca="false" t="array" ref="W54:W54">IF($C54="S",ROUND(IF(TIPOORCAMENTO="Proposto",ORÇAMENTO.CustoUnitario*(1+$AH54),ORÇAMENTO.PrecoUnitarioLicitado),15-13*$AF$10),0)</f>
        <v>0</v>
      </c>
      <c r="X54" s="215" t="n">
        <f aca="true" t="array" ref="X54:X54">IF($C54="S",IF(OR(Import.TipoArredondamento&lt;&gt;"TransfereGOV",ACOMPANHAMENTO="BM"),VTOTAL1,SUM(OFFSET(CÁLCULO!$AA$15,ROW($X54)-ROW($X$15),1):OFFSET(CÁLCULO!$AL$15,ROW($X54)-ROW($X$15),-1))),IF($C54=0,0,ROUND(SomaAgrup,15-13*$AF$11)))</f>
        <v>0</v>
      </c>
      <c r="Y54" s="216" t="s">
        <v>776</v>
      </c>
      <c r="Z54" s="0" t="str">
        <f aca="false">IF(AND($C54="S",$X54&gt;0),IF(ISBLANK($Y54),"RA",LEFT($Y54,2)),"")</f>
        <v/>
      </c>
      <c r="AA54" s="217" t="n">
        <f aca="true" t="array" ref="AA54:AA54">IF($C54="S",IF($Z54="CP",$X54,IF($Z54="RA",(($X54)*QCI!$AA$3),0)),SomaAgrup)</f>
        <v>0</v>
      </c>
      <c r="AB54" s="218" t="n">
        <f aca="true" t="array" ref="AB54:AB54">IF($C54="S",IF($Z54="OU",ROUND($X54,2),0),SomaAgrup)</f>
        <v>0</v>
      </c>
      <c r="AC54" s="219" t="str">
        <f aca="false" t="array" ref="AC54:AC54">IF($N54=""," ",
IF(AND($C54&lt;&gt;"S",OR($R54="",$R54="(digite a descrição aqui)")),"DESCRIÇÃO",
IF(AND($C54="S",OR($Q54&lt;&gt;"",$T54&gt;0,$U54&gt;0),$P54=""),"FONTE",
IF(AND($C54="S",$P54&lt;&gt;"",OR($T54&gt;0,$U54&gt;0),$Q54=""),"CÓDIGO",
IF(AND($C54="S",$P54&lt;&gt;"",$Q54&lt;&gt;"",$R54="(Código não identificado nas referências)"),"CÓDIGO N/ID",
IF(AND($C54="S",OR($R54="",$R54="(digite a descrição aqui)"),OR($Q54&lt;&gt;"",$T54&gt;0,$U54&gt;0)),"DESCRIÇÃO",
IF(AND($C54="S",$P54&lt;&gt;"",$Q54&lt;&gt;"",$S54=""),"UNIDADE",
IF(AND($C54="S",$P54&lt;&gt;"",$Q54&lt;&gt;"",$U54=0),"SEM CUSTO",
IF(AND(TIPOORCAMENTO="Licitado",$AL54=0,$AN54&gt;0),"SEM PREÇO",
IF(AND($C54="S",$P54&lt;&gt;"",$Q54&lt;&gt;"",$U54&gt;0,AND($V54&lt;&gt;"BDI 1",$V54&lt;&gt;"BDI 2",$V54&lt;&gt;"BDI 3")),IF(ISNUMBER($V54),"JUSTIFICAR BDI","BDI"),
IF(OR(AND(import.recurso="OGU",TIPOORCAMENTO="Proposto",LEFT($O$8,5)&lt;&gt;"(N/D:",$AG54&lt;&gt;"",ORÇAMENTO.CustoUnitario&gt;$AG54),AND(TIPOORCAMENTO="LICITADO",ORÇAMENTO.PrecoUnitarioLicitado&gt;$AN54)),"ACIMA REF.",
IF(AND($C54="S",$P54&lt;&gt;"",$Q54&lt;&gt;"",$T54=0,$U54&gt;0),"QUANT.",
IF(AND(Import.TipoArredondamento="TransfereGOV",$L54="F",$C54="S",LEN($Q54)&gt;13),"Código &gt;13",
IF(AND(Import.TipoArredondamento="TransfereGOV",$L54="F",$C54&lt;&gt;"S",LEN($R54)&gt;100),"Descrição &gt;100",
IF(AND(Import.TipoArredondamento="TransfereGOV",$L54="F",$C54="S",LEN($R54)&gt;500),"Descrição &gt;500",
IF(AND(Import.TipoArredondamento="TransfereGOV",$L54="F",$C54="S",LEFT(TRIM(UPPER($P54)),6)&lt;&gt;"SINAPI",ISNA(VLOOKUP(TRIM(UPPER($S54)),ListaTgov.Unidades,1,FALSE()))),"Unid. Não Disp",
" "))))))))))))))))</f>
        <v>CÓDIGO N/ID</v>
      </c>
      <c r="AD54" s="0" t="str">
        <f aca="true">IF(C54&lt;=CRONO.NivelExibicao,MAX($AD$15:OFFSET(AD54,-1,0))+IF($C54&lt;&gt;1,1,MAX(1,COUNTIF(QCI!$A$13:$A$24,OFFSET($E54,-1,0)))),"")</f>
        <v/>
      </c>
      <c r="AE54" s="48" t="str">
        <f aca="false" t="array" ref="AE54:AE54">IF(AND($C54="S",ORÇAMENTO.CodBarra&lt;&gt;""),IF(ORÇAMENTO.Fonte="",ORÇAMENTO.CodBarra,CONCATENATE(ORÇAMENTO.Fonte," ",ORÇAMENTO.CodBarra)))</f>
        <v>Cotação 3</v>
      </c>
      <c r="AF54" s="63" t="str">
        <f aca="true" t="array" ref="AF54:AF54">IF(ISERROR(ORÇAMENTO.BancoRef),"(abra o arquivo 'Referência "&amp;Excel_BuiltIn_Database&amp;".xlsm)",IF(OR($C54&lt;&gt;"S",ORÇAMENTO.CodBarra=""),"(Sem Código)",IF(ISERROR(MATCH($AE54,INDIRECT(ORÇAMENTO.BancoRef),0)),"(Código não identificado nas referências)",MATCH($AE54,INDIRECT(ORÇAMENTO.BancoRef),0))))</f>
        <v>(Código não identificado nas referências)</v>
      </c>
      <c r="AG54" s="220" t="n">
        <f aca="true" t="array" ref="AG54:AG54">ROUND(IF(DESONERACAO="sim",REFERENCIA.Desonerado,REFERENCIA.NaoDesonerado),2)</f>
        <v>0</v>
      </c>
      <c r="AH54" s="221" t="n">
        <f aca="false">ROUND(IF(ISNUMBER(ORÇAMENTO.OpcaoBDI),ORÇAMENTO.OpcaoBDI,IF(LEFT(ORÇAMENTO.OpcaoBDI,3)="BDI",HLOOKUP(ORÇAMENTO.OpcaoBDI,$F$4:$H$5,2,FALSE()),0)),15-11*$AF$9)</f>
        <v>0.25</v>
      </c>
      <c r="AJ54" s="222" t="n">
        <v>50</v>
      </c>
      <c r="AL54" s="223"/>
      <c r="AM54" s="224" t="n">
        <f aca="false">$X54</f>
        <v>0</v>
      </c>
      <c r="AN54" s="225" t="n">
        <f aca="false" t="array" ref="AN54:AN54">ROUND(ORÇAMENTO.CustoUnitario*(1+$AH54),2)</f>
        <v>0</v>
      </c>
    </row>
    <row r="55" customFormat="false" ht="12.75" hidden="false" customHeight="false" outlineLevel="0" collapsed="false">
      <c r="A55" s="0" t="n">
        <f aca="false">CHOOSE(1+LOG(1+2*(ORÇAMENTO.Nivel="Meta")+4*(ORÇAMENTO.Nivel="Nível 2")+8*(ORÇAMENTO.Nivel="Nível 3")+16*(ORÇAMENTO.Nivel="Nível 4")+32*(ORÇAMENTO.Nivel="Serviço"),2),0,1,2,3,4,"S")</f>
        <v>2</v>
      </c>
      <c r="B55" s="0" t="n">
        <f aca="true">IF(OR(C55="s",C55=0),OFFSET(B55,-1,0),C55)</f>
        <v>2</v>
      </c>
      <c r="C55" s="0" t="n">
        <f aca="true">IF(OFFSET(C55,-1,0)="L",1,IF(OFFSET(C55,-1,0)=1,2,IF(OR(A55="s",A55=0),"S",IF(AND(OFFSET(C55,-1,0)=2,A55=4),3,IF(AND(OR(OFFSET(C55,-1,0)="s",OFFSET(C55,-1,0)=0),A55&lt;&gt;"s",A55&gt;OFFSET(B55,-1,0)),OFFSET(B55,-1,0),A55)))))</f>
        <v>2</v>
      </c>
      <c r="D55" s="0" t="n">
        <f aca="false">IF(OR(C55="S",C55=0),0,IF(ISERROR(K55),J55,SMALL(J55:K55,1)))</f>
        <v>4</v>
      </c>
      <c r="E55" s="0" t="n">
        <f aca="true">IF($C55=1,OFFSET(E55,-1,0)+MAX(1,COUNTIF(QCI!$A$13:$A$24,OFFSET(ORÇAMENTO!E55,-1,0))),OFFSET(E55,-1,0))</f>
        <v>1</v>
      </c>
      <c r="F55" s="0" t="n">
        <f aca="true">IF($C55=1,0,IF($C55=2,OFFSET(F55,-1,0)+1,OFFSET(F55,-1,0)))</f>
        <v>11</v>
      </c>
      <c r="G55" s="0" t="n">
        <f aca="true">IF(AND($C55&lt;=2,$C55&lt;&gt;0),0,IF($C55=3,OFFSET(G55,-1,0)+1,OFFSET(G55,-1,0)))</f>
        <v>0</v>
      </c>
      <c r="H55" s="0" t="n">
        <f aca="true">IF(AND($C55&lt;=3,$C55&lt;&gt;0),0,IF($C55=4,OFFSET(H55,-1,0)+1,OFFSET(H55,-1,0)))</f>
        <v>0</v>
      </c>
      <c r="I55" s="0" t="n">
        <f aca="true">IF(AND($C55&lt;=4,$C55&lt;&gt;0),0,IF(AND($C55="S",$X55&gt;0),OFFSET(I55,-1,0)+1,OFFSET(I55,-1,0)))</f>
        <v>0</v>
      </c>
      <c r="J55" s="0" t="n">
        <f aca="true">IF(OR($C55="S",$C55=0),0,MATCH(0,OFFSET($D55,1,$C55,ROW($C$59)-ROW($C55)),0))</f>
        <v>4</v>
      </c>
      <c r="K55" s="0" t="e">
        <f aca="true">IF(OR($C55="S",$C55=0),0,MATCH(OFFSET($D55,0,$C55)+IF($C55&lt;&gt;1,1,COUNTIF(QCI!$A$13:$A$24,ORÇAMENTO!E55)),OFFSET($D55,1,$C55,ROW($C$59)-ROW($C55)),0))</f>
        <v>#N/A</v>
      </c>
      <c r="L55" s="204" t="str">
        <f aca="false">IF(OR($X55&gt;0,$C55=1,$C55=2,$C55=3,$C55=4),"F","")</f>
        <v>F</v>
      </c>
      <c r="M55" s="205" t="s">
        <v>764</v>
      </c>
      <c r="N55" s="206" t="str">
        <f aca="false">CHOOSE(1+LOG(1+2*(C55=1)+4*(C55=2)+8*(C55=3)+16*(C55=4)+32*(C55="S"),2),"","Meta","Nível 2","Nível 3","Nível 4","Serviço")</f>
        <v>Nível 2</v>
      </c>
      <c r="O55" s="207" t="str">
        <f aca="false">IF(OR($C55=0,$L55=""),"-",CONCATENATE(E55&amp;".",IF(AND($A$5&gt;=2,$C55&gt;=2),F55&amp;".",""),IF(AND($A$5&gt;=3,$C55&gt;=3),G55&amp;".",""),IF(AND($A$5&gt;=4,$C55&gt;=4),H55&amp;".",""),IF($C55="S",I55&amp;".","")))</f>
        <v>1.11.</v>
      </c>
      <c r="P55" s="208" t="s">
        <v>772</v>
      </c>
      <c r="Q55" s="209"/>
      <c r="R55" s="240" t="s">
        <v>863</v>
      </c>
      <c r="S55" s="211" t="str">
        <f aca="true" t="array" ref="S55:S55">REFERENCIA.Unidade</f>
        <v>-</v>
      </c>
      <c r="T55" s="212" t="n">
        <f aca="true">OFFSET(CÁLCULO!H$15,ROW($T55)-ROW(T$15),0)</f>
        <v>0</v>
      </c>
      <c r="U55" s="213" t="n">
        <f aca="false">AG55</f>
        <v>0</v>
      </c>
      <c r="V55" s="214" t="s">
        <v>723</v>
      </c>
      <c r="W55" s="212" t="n">
        <f aca="false" t="array" ref="W55:W55">IF($C55="S",ROUND(IF(TIPOORCAMENTO="Proposto",ORÇAMENTO.CustoUnitario*(1+$AH55),ORÇAMENTO.PrecoUnitarioLicitado),15-13*$AF$10),0)</f>
        <v>0</v>
      </c>
      <c r="X55" s="215" t="n">
        <f aca="true" t="array" ref="X55:X55">IF($C55="S",IF(OR(Import.TipoArredondamento&lt;&gt;"TransfereGOV",ACOMPANHAMENTO="BM"),VTOTAL1,SUM(OFFSET(CÁLCULO!$AA$15,ROW($X55)-ROW($X$15),1):OFFSET(CÁLCULO!$AL$15,ROW($X55)-ROW($X$15),-1))),IF($C55=0,0,ROUND(SomaAgrup,15-13*$AF$11)))</f>
        <v>0</v>
      </c>
      <c r="Y55" s="216" t="s">
        <v>776</v>
      </c>
      <c r="Z55" s="0" t="str">
        <f aca="false">IF(AND($C55="S",$X55&gt;0),IF(ISBLANK($Y55),"RA",LEFT($Y55,2)),"")</f>
        <v/>
      </c>
      <c r="AA55" s="217" t="n">
        <f aca="true" t="array" ref="AA55:AA55">IF($C55="S",IF($Z55="CP",$X55,IF($Z55="RA",(($X55)*QCI!$AA$3),0)),SomaAgrup)</f>
        <v>0</v>
      </c>
      <c r="AB55" s="218" t="n">
        <f aca="true" t="array" ref="AB55:AB55">IF($C55="S",IF($Z55="OU",ROUND($X55,2),0),SomaAgrup)</f>
        <v>0</v>
      </c>
      <c r="AC55" s="219" t="str">
        <f aca="false" t="array" ref="AC55:AC55">IF($N55=""," ",
IF(AND($C55&lt;&gt;"S",OR($R55="",$R55="(digite a descrição aqui)")),"DESCRIÇÃO",
IF(AND($C55="S",OR($Q55&lt;&gt;"",$T55&gt;0,$U55&gt;0),$P55=""),"FONTE",
IF(AND($C55="S",$P55&lt;&gt;"",OR($T55&gt;0,$U55&gt;0),$Q55=""),"CÓDIGO",
IF(AND($C55="S",$P55&lt;&gt;"",$Q55&lt;&gt;"",$R55="(Código não identificado nas referências)"),"CÓDIGO N/ID",
IF(AND($C55="S",OR($R55="",$R55="(digite a descrição aqui)"),OR($Q55&lt;&gt;"",$T55&gt;0,$U55&gt;0)),"DESCRIÇÃO",
IF(AND($C55="S",$P55&lt;&gt;"",$Q55&lt;&gt;"",$S55=""),"UNIDADE",
IF(AND($C55="S",$P55&lt;&gt;"",$Q55&lt;&gt;"",$U55=0),"SEM CUSTO",
IF(AND(TIPOORCAMENTO="Licitado",$AL55=0,$AN55&gt;0),"SEM PREÇO",
IF(AND($C55="S",$P55&lt;&gt;"",$Q55&lt;&gt;"",$U55&gt;0,AND($V55&lt;&gt;"BDI 1",$V55&lt;&gt;"BDI 2",$V55&lt;&gt;"BDI 3")),IF(ISNUMBER($V55),"JUSTIFICAR BDI","BDI"),
IF(OR(AND(import.recurso="OGU",TIPOORCAMENTO="Proposto",LEFT($O$8,5)&lt;&gt;"(N/D:",$AG55&lt;&gt;"",ORÇAMENTO.CustoUnitario&gt;$AG55),AND(TIPOORCAMENTO="LICITADO",ORÇAMENTO.PrecoUnitarioLicitado&gt;$AN55)),"ACIMA REF.",
IF(AND($C55="S",$P55&lt;&gt;"",$Q55&lt;&gt;"",$T55=0,$U55&gt;0),"QUANT.",
IF(AND(Import.TipoArredondamento="TransfereGOV",$L55="F",$C55="S",LEN($Q55)&gt;13),"Código &gt;13",
IF(AND(Import.TipoArredondamento="TransfereGOV",$L55="F",$C55&lt;&gt;"S",LEN($R55)&gt;100),"Descrição &gt;100",
IF(AND(Import.TipoArredondamento="TransfereGOV",$L55="F",$C55="S",LEN($R55)&gt;500),"Descrição &gt;500",
IF(AND(Import.TipoArredondamento="TransfereGOV",$L55="F",$C55="S",LEFT(TRIM(UPPER($P55)),6)&lt;&gt;"SINAPI",ISNA(VLOOKUP(TRIM(UPPER($S55)),ListaTgov.Unidades,1,FALSE()))),"Unid. Não Disp",
" "))))))))))))))))</f>
        <v> </v>
      </c>
      <c r="AD55" s="0" t="n">
        <f aca="true">IF(C55&lt;=CRONO.NivelExibicao,MAX($AD$15:OFFSET(AD55,-1,0))+IF($C55&lt;&gt;1,1,MAX(1,COUNTIF(QCI!$A$13:$A$24,OFFSET($E55,-1,0)))),"")</f>
        <v>12</v>
      </c>
      <c r="AE55" s="48" t="n">
        <f aca="false" t="array" ref="AE55:AE55">IF(AND($C55="S",ORÇAMENTO.CodBarra&lt;&gt;""),IF(ORÇAMENTO.Fonte="",ORÇAMENTO.CodBarra,CONCATENATE(ORÇAMENTO.Fonte," ",ORÇAMENTO.CodBarra)))</f>
        <v>0</v>
      </c>
      <c r="AF55" s="63" t="str">
        <f aca="true" t="array" ref="AF55:AF55">IF(ISERROR(ORÇAMENTO.BancoRef),"(abra o arquivo 'Referência "&amp;Excel_BuiltIn_Database&amp;".xlsm)",IF(OR($C55&lt;&gt;"S",ORÇAMENTO.CodBarra=""),"(Sem Código)",IF(ISERROR(MATCH($AE55,INDIRECT(ORÇAMENTO.BancoRef),0)),"(Código não identificado nas referências)",MATCH($AE55,INDIRECT(ORÇAMENTO.BancoRef),0))))</f>
        <v>(Sem Código)</v>
      </c>
      <c r="AG55" s="220" t="n">
        <f aca="true" t="array" ref="AG55:AG55">ROUND(IF(DESONERACAO="sim",REFERENCIA.Desonerado,REFERENCIA.NaoDesonerado),2)</f>
        <v>0</v>
      </c>
      <c r="AH55" s="221" t="n">
        <f aca="false">ROUND(IF(ISNUMBER(ORÇAMENTO.OpcaoBDI),ORÇAMENTO.OpcaoBDI,IF(LEFT(ORÇAMENTO.OpcaoBDI,3)="BDI",HLOOKUP(ORÇAMENTO.OpcaoBDI,$F$4:$H$5,2,FALSE()),0)),15-11*$AF$9)</f>
        <v>0.25</v>
      </c>
      <c r="AJ55" s="222"/>
      <c r="AL55" s="223"/>
      <c r="AM55" s="224" t="n">
        <f aca="false">$X55</f>
        <v>0</v>
      </c>
      <c r="AN55" s="225" t="n">
        <f aca="false" t="array" ref="AN55:AN55">ROUND(ORÇAMENTO.CustoUnitario*(1+$AH55),2)</f>
        <v>0</v>
      </c>
    </row>
    <row r="56" customFormat="false" ht="12.75" hidden="false" customHeight="false" outlineLevel="0" collapsed="false">
      <c r="A56" s="0" t="str">
        <f aca="false">CHOOSE(1+LOG(1+2*(ORÇAMENTO.Nivel="Meta")+4*(ORÇAMENTO.Nivel="Nível 2")+8*(ORÇAMENTO.Nivel="Nível 3")+16*(ORÇAMENTO.Nivel="Nível 4")+32*(ORÇAMENTO.Nivel="Serviço"),2),0,1,2,3,4,"S")</f>
        <v>S</v>
      </c>
      <c r="B56" s="0" t="n">
        <f aca="true">IF(OR(C56="s",C56=0),OFFSET(B56,-1,0),C56)</f>
        <v>2</v>
      </c>
      <c r="C56" s="0" t="str">
        <f aca="true">IF(OFFSET(C56,-1,0)="L",1,IF(OFFSET(C56,-1,0)=1,2,IF(OR(A56="s",A56=0),"S",IF(AND(OFFSET(C56,-1,0)=2,A56=4),3,IF(AND(OR(OFFSET(C56,-1,0)="s",OFFSET(C56,-1,0)=0),A56&lt;&gt;"s",A56&gt;OFFSET(B56,-1,0)),OFFSET(B56,-1,0),A56)))))</f>
        <v>S</v>
      </c>
      <c r="D56" s="0" t="n">
        <f aca="false">IF(OR(C56="S",C56=0),0,IF(ISERROR(K56),J56,SMALL(J56:K56,1)))</f>
        <v>0</v>
      </c>
      <c r="E56" s="0" t="n">
        <f aca="true">IF($C56=1,OFFSET(E56,-1,0)+MAX(1,COUNTIF(QCI!$A$13:$A$24,OFFSET(ORÇAMENTO!E56,-1,0))),OFFSET(E56,-1,0))</f>
        <v>1</v>
      </c>
      <c r="F56" s="0" t="n">
        <f aca="true">IF($C56=1,0,IF($C56=2,OFFSET(F56,-1,0)+1,OFFSET(F56,-1,0)))</f>
        <v>11</v>
      </c>
      <c r="G56" s="0" t="n">
        <f aca="true">IF(AND($C56&lt;=2,$C56&lt;&gt;0),0,IF($C56=3,OFFSET(G56,-1,0)+1,OFFSET(G56,-1,0)))</f>
        <v>0</v>
      </c>
      <c r="H56" s="0" t="n">
        <f aca="true">IF(AND($C56&lt;=3,$C56&lt;&gt;0),0,IF($C56=4,OFFSET(H56,-1,0)+1,OFFSET(H56,-1,0)))</f>
        <v>0</v>
      </c>
      <c r="I56" s="0" t="n">
        <f aca="true">IF(AND($C56&lt;=4,$C56&lt;&gt;0),0,IF(AND($C56="S",$X56&gt;0),OFFSET(I56,-1,0)+1,OFFSET(I56,-1,0)))</f>
        <v>0</v>
      </c>
      <c r="J56" s="0" t="n">
        <f aca="true">IF(OR($C56="S",$C56=0),0,MATCH(0,OFFSET($D56,1,$C56,ROW($C$59)-ROW($C56)),0))</f>
        <v>0</v>
      </c>
      <c r="K56" s="0" t="n">
        <f aca="true">IF(OR($C56="S",$C56=0),0,MATCH(OFFSET($D56,0,$C56)+IF($C56&lt;&gt;1,1,COUNTIF(QCI!$A$13:$A$24,ORÇAMENTO!E56)),OFFSET($D56,1,$C56,ROW($C$59)-ROW($C56)),0))</f>
        <v>0</v>
      </c>
      <c r="L56" s="204" t="str">
        <f aca="false">IF(OR($X56&gt;0,$C56=1,$C56=2,$C56=3,$C56=4),"F","")</f>
        <v/>
      </c>
      <c r="M56" s="205" t="s">
        <v>767</v>
      </c>
      <c r="N56" s="206" t="str">
        <f aca="false">CHOOSE(1+LOG(1+2*(C56=1)+4*(C56=2)+8*(C56=3)+16*(C56=4)+32*(C56="S"),2),"","Meta","Nível 2","Nível 3","Nível 4","Serviço")</f>
        <v>Serviço</v>
      </c>
      <c r="O56" s="207" t="str">
        <f aca="false">IF(OR($C56=0,$L56=""),"-",CONCATENATE(E56&amp;".",IF(AND($A$5&gt;=2,$C56&gt;=2),F56&amp;".",""),IF(AND($A$5&gt;=3,$C56&gt;=3),G56&amp;".",""),IF(AND($A$5&gt;=4,$C56&gt;=4),H56&amp;".",""),IF($C56="S",I56&amp;".","")))</f>
        <v>-</v>
      </c>
      <c r="P56" s="208" t="s">
        <v>771</v>
      </c>
      <c r="Q56" s="209" t="s">
        <v>864</v>
      </c>
      <c r="R56" s="240" t="str">
        <f aca="true" t="array" ref="R56:R56">IF($C56="S",REFERENCIA.Descricao,"(digite a descrição aqui)")</f>
        <v>(Código não identificado nas referências)</v>
      </c>
      <c r="S56" s="211" t="str">
        <f aca="true" t="array" ref="S56:S56">REFERENCIA.Unidade</f>
        <v>-</v>
      </c>
      <c r="T56" s="212" t="n">
        <f aca="true">OFFSET(CÁLCULO!H$15,ROW($T56)-ROW(T$15),0)</f>
        <v>120</v>
      </c>
      <c r="U56" s="213" t="n">
        <f aca="false">AG56</f>
        <v>0</v>
      </c>
      <c r="V56" s="214" t="s">
        <v>723</v>
      </c>
      <c r="W56" s="212" t="n">
        <f aca="false" t="array" ref="W56:W56">IF($C56="S",ROUND(IF(TIPOORCAMENTO="Proposto",ORÇAMENTO.CustoUnitario*(1+$AH56),ORÇAMENTO.PrecoUnitarioLicitado),15-13*$AF$10),0)</f>
        <v>0</v>
      </c>
      <c r="X56" s="215" t="n">
        <f aca="true" t="array" ref="X56:X56">IF($C56="S",IF(OR(Import.TipoArredondamento&lt;&gt;"TransfereGOV",ACOMPANHAMENTO="BM"),VTOTAL1,SUM(OFFSET(CÁLCULO!$AA$15,ROW($X56)-ROW($X$15),1):OFFSET(CÁLCULO!$AL$15,ROW($X56)-ROW($X$15),-1))),IF($C56=0,0,ROUND(SomaAgrup,15-13*$AF$11)))</f>
        <v>0</v>
      </c>
      <c r="Y56" s="216" t="s">
        <v>776</v>
      </c>
      <c r="Z56" s="0" t="str">
        <f aca="false">IF(AND($C56="S",$X56&gt;0),IF(ISBLANK($Y56),"RA",LEFT($Y56,2)),"")</f>
        <v/>
      </c>
      <c r="AA56" s="217" t="n">
        <f aca="true" t="array" ref="AA56:AA56">IF($C56="S",IF($Z56="CP",$X56,IF($Z56="RA",(($X56)*QCI!$AA$3),0)),SomaAgrup)</f>
        <v>0</v>
      </c>
      <c r="AB56" s="218" t="n">
        <f aca="true" t="array" ref="AB56:AB56">IF($C56="S",IF($Z56="OU",ROUND($X56,2),0),SomaAgrup)</f>
        <v>0</v>
      </c>
      <c r="AC56" s="219" t="str">
        <f aca="false" t="array" ref="AC56:AC56">IF($N56=""," ",
IF(AND($C56&lt;&gt;"S",OR($R56="",$R56="(digite a descrição aqui)")),"DESCRIÇÃO",
IF(AND($C56="S",OR($Q56&lt;&gt;"",$T56&gt;0,$U56&gt;0),$P56=""),"FONTE",
IF(AND($C56="S",$P56&lt;&gt;"",OR($T56&gt;0,$U56&gt;0),$Q56=""),"CÓDIGO",
IF(AND($C56="S",$P56&lt;&gt;"",$Q56&lt;&gt;"",$R56="(Código não identificado nas referências)"),"CÓDIGO N/ID",
IF(AND($C56="S",OR($R56="",$R56="(digite a descrição aqui)"),OR($Q56&lt;&gt;"",$T56&gt;0,$U56&gt;0)),"DESCRIÇÃO",
IF(AND($C56="S",$P56&lt;&gt;"",$Q56&lt;&gt;"",$S56=""),"UNIDADE",
IF(AND($C56="S",$P56&lt;&gt;"",$Q56&lt;&gt;"",$U56=0),"SEM CUSTO",
IF(AND(TIPOORCAMENTO="Licitado",$AL56=0,$AN56&gt;0),"SEM PREÇO",
IF(AND($C56="S",$P56&lt;&gt;"",$Q56&lt;&gt;"",$U56&gt;0,AND($V56&lt;&gt;"BDI 1",$V56&lt;&gt;"BDI 2",$V56&lt;&gt;"BDI 3")),IF(ISNUMBER($V56),"JUSTIFICAR BDI","BDI"),
IF(OR(AND(import.recurso="OGU",TIPOORCAMENTO="Proposto",LEFT($O$8,5)&lt;&gt;"(N/D:",$AG56&lt;&gt;"",ORÇAMENTO.CustoUnitario&gt;$AG56),AND(TIPOORCAMENTO="LICITADO",ORÇAMENTO.PrecoUnitarioLicitado&gt;$AN56)),"ACIMA REF.",
IF(AND($C56="S",$P56&lt;&gt;"",$Q56&lt;&gt;"",$T56=0,$U56&gt;0),"QUANT.",
IF(AND(Import.TipoArredondamento="TransfereGOV",$L56="F",$C56="S",LEN($Q56)&gt;13),"Código &gt;13",
IF(AND(Import.TipoArredondamento="TransfereGOV",$L56="F",$C56&lt;&gt;"S",LEN($R56)&gt;100),"Descrição &gt;100",
IF(AND(Import.TipoArredondamento="TransfereGOV",$L56="F",$C56="S",LEN($R56)&gt;500),"Descrição &gt;500",
IF(AND(Import.TipoArredondamento="TransfereGOV",$L56="F",$C56="S",LEFT(TRIM(UPPER($P56)),6)&lt;&gt;"SINAPI",ISNA(VLOOKUP(TRIM(UPPER($S56)),ListaTgov.Unidades,1,FALSE()))),"Unid. Não Disp",
" "))))))))))))))))</f>
        <v>CÓDIGO N/ID</v>
      </c>
      <c r="AD56" s="0" t="str">
        <f aca="true">IF(C56&lt;=CRONO.NivelExibicao,MAX($AD$15:OFFSET(AD56,-1,0))+IF($C56&lt;&gt;1,1,MAX(1,COUNTIF(QCI!$A$13:$A$24,OFFSET($E56,-1,0)))),"")</f>
        <v/>
      </c>
      <c r="AE56" s="48" t="str">
        <f aca="false" t="array" ref="AE56:AE56">IF(AND($C56="S",ORÇAMENTO.CodBarra&lt;&gt;""),IF(ORÇAMENTO.Fonte="",ORÇAMENTO.CodBarra,CONCATENATE(ORÇAMENTO.Fonte," ",ORÇAMENTO.CodBarra)))</f>
        <v>Composição 11</v>
      </c>
      <c r="AF56" s="63" t="str">
        <f aca="true" t="array" ref="AF56:AF56">IF(ISERROR(ORÇAMENTO.BancoRef),"(abra o arquivo 'Referência "&amp;Excel_BuiltIn_Database&amp;".xlsm)",IF(OR($C56&lt;&gt;"S",ORÇAMENTO.CodBarra=""),"(Sem Código)",IF(ISERROR(MATCH($AE56,INDIRECT(ORÇAMENTO.BancoRef),0)),"(Código não identificado nas referências)",MATCH($AE56,INDIRECT(ORÇAMENTO.BancoRef),0))))</f>
        <v>(Código não identificado nas referências)</v>
      </c>
      <c r="AG56" s="220" t="n">
        <f aca="true" t="array" ref="AG56:AG56">ROUND(IF(DESONERACAO="sim",REFERENCIA.Desonerado,REFERENCIA.NaoDesonerado),2)</f>
        <v>0</v>
      </c>
      <c r="AH56" s="221" t="n">
        <f aca="false">ROUND(IF(ISNUMBER(ORÇAMENTO.OpcaoBDI),ORÇAMENTO.OpcaoBDI,IF(LEFT(ORÇAMENTO.OpcaoBDI,3)="BDI",HLOOKUP(ORÇAMENTO.OpcaoBDI,$F$4:$H$5,2,FALSE()),0)),15-11*$AF$9)</f>
        <v>0.25</v>
      </c>
      <c r="AJ56" s="222" t="n">
        <v>120</v>
      </c>
      <c r="AL56" s="223"/>
      <c r="AM56" s="224" t="n">
        <f aca="false">$X56</f>
        <v>0</v>
      </c>
      <c r="AN56" s="225" t="n">
        <f aca="false" t="array" ref="AN56:AN56">ROUND(ORÇAMENTO.CustoUnitario*(1+$AH56),2)</f>
        <v>0</v>
      </c>
    </row>
    <row r="57" customFormat="false" ht="12.75" hidden="false" customHeight="false" outlineLevel="0" collapsed="false">
      <c r="A57" s="0" t="str">
        <f aca="false">CHOOSE(1+LOG(1+2*(ORÇAMENTO.Nivel="Meta")+4*(ORÇAMENTO.Nivel="Nível 2")+8*(ORÇAMENTO.Nivel="Nível 3")+16*(ORÇAMENTO.Nivel="Nível 4")+32*(ORÇAMENTO.Nivel="Serviço"),2),0,1,2,3,4,"S")</f>
        <v>S</v>
      </c>
      <c r="B57" s="0" t="n">
        <f aca="true">IF(OR(C57="s",C57=0),OFFSET(B57,-1,0),C57)</f>
        <v>2</v>
      </c>
      <c r="C57" s="0" t="str">
        <f aca="true">IF(OFFSET(C57,-1,0)="L",1,IF(OFFSET(C57,-1,0)=1,2,IF(OR(A57="s",A57=0),"S",IF(AND(OFFSET(C57,-1,0)=2,A57=4),3,IF(AND(OR(OFFSET(C57,-1,0)="s",OFFSET(C57,-1,0)=0),A57&lt;&gt;"s",A57&gt;OFFSET(B57,-1,0)),OFFSET(B57,-1,0),A57)))))</f>
        <v>S</v>
      </c>
      <c r="D57" s="0" t="n">
        <f aca="false">IF(OR(C57="S",C57=0),0,IF(ISERROR(K57),J57,SMALL(J57:K57,1)))</f>
        <v>0</v>
      </c>
      <c r="E57" s="0" t="n">
        <f aca="true">IF($C57=1,OFFSET(E57,-1,0)+MAX(1,COUNTIF(QCI!$A$13:$A$24,OFFSET(ORÇAMENTO!E57,-1,0))),OFFSET(E57,-1,0))</f>
        <v>1</v>
      </c>
      <c r="F57" s="0" t="n">
        <f aca="true">IF($C57=1,0,IF($C57=2,OFFSET(F57,-1,0)+1,OFFSET(F57,-1,0)))</f>
        <v>11</v>
      </c>
      <c r="G57" s="0" t="n">
        <f aca="true">IF(AND($C57&lt;=2,$C57&lt;&gt;0),0,IF($C57=3,OFFSET(G57,-1,0)+1,OFFSET(G57,-1,0)))</f>
        <v>0</v>
      </c>
      <c r="H57" s="0" t="n">
        <f aca="true">IF(AND($C57&lt;=3,$C57&lt;&gt;0),0,IF($C57=4,OFFSET(H57,-1,0)+1,OFFSET(H57,-1,0)))</f>
        <v>0</v>
      </c>
      <c r="I57" s="0" t="n">
        <f aca="true">IF(AND($C57&lt;=4,$C57&lt;&gt;0),0,IF(AND($C57="S",$X57&gt;0),OFFSET(I57,-1,0)+1,OFFSET(I57,-1,0)))</f>
        <v>0</v>
      </c>
      <c r="J57" s="0" t="n">
        <f aca="true">IF(OR($C57="S",$C57=0),0,MATCH(0,OFFSET($D57,1,$C57,ROW($C$59)-ROW($C57)),0))</f>
        <v>0</v>
      </c>
      <c r="K57" s="0" t="n">
        <f aca="true">IF(OR($C57="S",$C57=0),0,MATCH(OFFSET($D57,0,$C57)+IF($C57&lt;&gt;1,1,COUNTIF(QCI!$A$13:$A$24,ORÇAMENTO!E57)),OFFSET($D57,1,$C57,ROW($C$59)-ROW($C57)),0))</f>
        <v>0</v>
      </c>
      <c r="L57" s="204" t="str">
        <f aca="false">IF(OR($X57&gt;0,$C57=1,$C57=2,$C57=3,$C57=4),"F","")</f>
        <v/>
      </c>
      <c r="M57" s="205" t="s">
        <v>767</v>
      </c>
      <c r="N57" s="206" t="str">
        <f aca="false">CHOOSE(1+LOG(1+2*(C57=1)+4*(C57=2)+8*(C57=3)+16*(C57=4)+32*(C57="S"),2),"","Meta","Nível 2","Nível 3","Nível 4","Serviço")</f>
        <v>Serviço</v>
      </c>
      <c r="O57" s="207" t="str">
        <f aca="false">IF(OR($C57=0,$L57=""),"-",CONCATENATE(E57&amp;".",IF(AND($A$5&gt;=2,$C57&gt;=2),F57&amp;".",""),IF(AND($A$5&gt;=3,$C57&gt;=3),G57&amp;".",""),IF(AND($A$5&gt;=4,$C57&gt;=4),H57&amp;".",""),IF($C57="S",I57&amp;".","")))</f>
        <v>-</v>
      </c>
      <c r="P57" s="208" t="s">
        <v>772</v>
      </c>
      <c r="Q57" s="209" t="s">
        <v>865</v>
      </c>
      <c r="R57" s="240" t="str">
        <f aca="true" t="array" ref="R57:R57">IF($C57="S",REFERENCIA.Descricao,"(digite a descrição aqui)")</f>
        <v>(Código não identificado nas referências)</v>
      </c>
      <c r="S57" s="211" t="str">
        <f aca="true" t="array" ref="S57:S57">REFERENCIA.Unidade</f>
        <v>-</v>
      </c>
      <c r="T57" s="212" t="n">
        <f aca="true">OFFSET(CÁLCULO!H$15,ROW($T57)-ROW(T$15),0)</f>
        <v>20</v>
      </c>
      <c r="U57" s="213" t="n">
        <f aca="false">AG57</f>
        <v>0</v>
      </c>
      <c r="V57" s="214" t="s">
        <v>723</v>
      </c>
      <c r="W57" s="212" t="n">
        <f aca="false" t="array" ref="W57:W57">IF($C57="S",ROUND(IF(TIPOORCAMENTO="Proposto",ORÇAMENTO.CustoUnitario*(1+$AH57),ORÇAMENTO.PrecoUnitarioLicitado),15-13*$AF$10),0)</f>
        <v>0</v>
      </c>
      <c r="X57" s="215" t="n">
        <f aca="true" t="array" ref="X57:X57">IF($C57="S",IF(OR(Import.TipoArredondamento&lt;&gt;"TransfereGOV",ACOMPANHAMENTO="BM"),VTOTAL1,SUM(OFFSET(CÁLCULO!$AA$15,ROW($X57)-ROW($X$15),1):OFFSET(CÁLCULO!$AL$15,ROW($X57)-ROW($X$15),-1))),IF($C57=0,0,ROUND(SomaAgrup,15-13*$AF$11)))</f>
        <v>0</v>
      </c>
      <c r="Y57" s="216" t="s">
        <v>776</v>
      </c>
      <c r="Z57" s="0" t="str">
        <f aca="false">IF(AND($C57="S",$X57&gt;0),IF(ISBLANK($Y57),"RA",LEFT($Y57,2)),"")</f>
        <v/>
      </c>
      <c r="AA57" s="217" t="n">
        <f aca="true" t="array" ref="AA57:AA57">IF($C57="S",IF($Z57="CP",$X57,IF($Z57="RA",(($X57)*QCI!$AA$3),0)),SomaAgrup)</f>
        <v>0</v>
      </c>
      <c r="AB57" s="218" t="n">
        <f aca="true" t="array" ref="AB57:AB57">IF($C57="S",IF($Z57="OU",ROUND($X57,2),0),SomaAgrup)</f>
        <v>0</v>
      </c>
      <c r="AC57" s="219" t="str">
        <f aca="false" t="array" ref="AC57:AC57">IF($N57=""," ",
IF(AND($C57&lt;&gt;"S",OR($R57="",$R57="(digite a descrição aqui)")),"DESCRIÇÃO",
IF(AND($C57="S",OR($Q57&lt;&gt;"",$T57&gt;0,$U57&gt;0),$P57=""),"FONTE",
IF(AND($C57="S",$P57&lt;&gt;"",OR($T57&gt;0,$U57&gt;0),$Q57=""),"CÓDIGO",
IF(AND($C57="S",$P57&lt;&gt;"",$Q57&lt;&gt;"",$R57="(Código não identificado nas referências)"),"CÓDIGO N/ID",
IF(AND($C57="S",OR($R57="",$R57="(digite a descrição aqui)"),OR($Q57&lt;&gt;"",$T57&gt;0,$U57&gt;0)),"DESCRIÇÃO",
IF(AND($C57="S",$P57&lt;&gt;"",$Q57&lt;&gt;"",$S57=""),"UNIDADE",
IF(AND($C57="S",$P57&lt;&gt;"",$Q57&lt;&gt;"",$U57=0),"SEM CUSTO",
IF(AND(TIPOORCAMENTO="Licitado",$AL57=0,$AN57&gt;0),"SEM PREÇO",
IF(AND($C57="S",$P57&lt;&gt;"",$Q57&lt;&gt;"",$U57&gt;0,AND($V57&lt;&gt;"BDI 1",$V57&lt;&gt;"BDI 2",$V57&lt;&gt;"BDI 3")),IF(ISNUMBER($V57),"JUSTIFICAR BDI","BDI"),
IF(OR(AND(import.recurso="OGU",TIPOORCAMENTO="Proposto",LEFT($O$8,5)&lt;&gt;"(N/D:",$AG57&lt;&gt;"",ORÇAMENTO.CustoUnitario&gt;$AG57),AND(TIPOORCAMENTO="LICITADO",ORÇAMENTO.PrecoUnitarioLicitado&gt;$AN57)),"ACIMA REF.",
IF(AND($C57="S",$P57&lt;&gt;"",$Q57&lt;&gt;"",$T57=0,$U57&gt;0),"QUANT.",
IF(AND(Import.TipoArredondamento="TransfereGOV",$L57="F",$C57="S",LEN($Q57)&gt;13),"Código &gt;13",
IF(AND(Import.TipoArredondamento="TransfereGOV",$L57="F",$C57&lt;&gt;"S",LEN($R57)&gt;100),"Descrição &gt;100",
IF(AND(Import.TipoArredondamento="TransfereGOV",$L57="F",$C57="S",LEN($R57)&gt;500),"Descrição &gt;500",
IF(AND(Import.TipoArredondamento="TransfereGOV",$L57="F",$C57="S",LEFT(TRIM(UPPER($P57)),6)&lt;&gt;"SINAPI",ISNA(VLOOKUP(TRIM(UPPER($S57)),ListaTgov.Unidades,1,FALSE()))),"Unid. Não Disp",
" "))))))))))))))))</f>
        <v>CÓDIGO N/ID</v>
      </c>
      <c r="AD57" s="0" t="str">
        <f aca="true">IF(C57&lt;=CRONO.NivelExibicao,MAX($AD$15:OFFSET(AD57,-1,0))+IF($C57&lt;&gt;1,1,MAX(1,COUNTIF(QCI!$A$13:$A$24,OFFSET($E57,-1,0)))),"")</f>
        <v/>
      </c>
      <c r="AE57" s="48" t="str">
        <f aca="false" t="array" ref="AE57:AE57">IF(AND($C57="S",ORÇAMENTO.CodBarra&lt;&gt;""),IF(ORÇAMENTO.Fonte="",ORÇAMENTO.CodBarra,CONCATENATE(ORÇAMENTO.Fonte," ",ORÇAMENTO.CodBarra)))</f>
        <v>Cotação 6</v>
      </c>
      <c r="AF57" s="63" t="str">
        <f aca="true" t="array" ref="AF57:AF57">IF(ISERROR(ORÇAMENTO.BancoRef),"(abra o arquivo 'Referência "&amp;Excel_BuiltIn_Database&amp;".xlsm)",IF(OR($C57&lt;&gt;"S",ORÇAMENTO.CodBarra=""),"(Sem Código)",IF(ISERROR(MATCH($AE57,INDIRECT(ORÇAMENTO.BancoRef),0)),"(Código não identificado nas referências)",MATCH($AE57,INDIRECT(ORÇAMENTO.BancoRef),0))))</f>
        <v>(Código não identificado nas referências)</v>
      </c>
      <c r="AG57" s="220" t="n">
        <f aca="true" t="array" ref="AG57:AG57">ROUND(IF(DESONERACAO="sim",REFERENCIA.Desonerado,REFERENCIA.NaoDesonerado),2)</f>
        <v>0</v>
      </c>
      <c r="AH57" s="221" t="n">
        <f aca="false">ROUND(IF(ISNUMBER(ORÇAMENTO.OpcaoBDI),ORÇAMENTO.OpcaoBDI,IF(LEFT(ORÇAMENTO.OpcaoBDI,3)="BDI",HLOOKUP(ORÇAMENTO.OpcaoBDI,$F$4:$H$5,2,FALSE()),0)),15-11*$AF$9)</f>
        <v>0.25</v>
      </c>
      <c r="AJ57" s="222" t="n">
        <v>20</v>
      </c>
      <c r="AL57" s="223"/>
      <c r="AM57" s="224" t="n">
        <f aca="false">$X57</f>
        <v>0</v>
      </c>
      <c r="AN57" s="225" t="n">
        <f aca="false" t="array" ref="AN57:AN57">ROUND(ORÇAMENTO.CustoUnitario*(1+$AH57),2)</f>
        <v>0</v>
      </c>
    </row>
    <row r="58" customFormat="false" ht="12.75" hidden="false" customHeight="false" outlineLevel="0" collapsed="false">
      <c r="A58" s="0" t="str">
        <f aca="false">CHOOSE(1+LOG(1+2*(ORÇAMENTO.Nivel="Meta")+4*(ORÇAMENTO.Nivel="Nível 2")+8*(ORÇAMENTO.Nivel="Nível 3")+16*(ORÇAMENTO.Nivel="Nível 4")+32*(ORÇAMENTO.Nivel="Serviço"),2),0,1,2,3,4,"S")</f>
        <v>S</v>
      </c>
      <c r="B58" s="0" t="n">
        <f aca="true">IF(OR(C58="s",C58=0),OFFSET(B58,-1,0),C58)</f>
        <v>2</v>
      </c>
      <c r="C58" s="0" t="str">
        <f aca="true">IF(OFFSET(C58,-1,0)="L",1,IF(OFFSET(C58,-1,0)=1,2,IF(OR(A58="s",A58=0),"S",IF(AND(OFFSET(C58,-1,0)=2,A58=4),3,IF(AND(OR(OFFSET(C58,-1,0)="s",OFFSET(C58,-1,0)=0),A58&lt;&gt;"s",A58&gt;OFFSET(B58,-1,0)),OFFSET(B58,-1,0),A58)))))</f>
        <v>S</v>
      </c>
      <c r="D58" s="0" t="n">
        <f aca="false">IF(OR(C58="S",C58=0),0,IF(ISERROR(K58),J58,SMALL(J58:K58,1)))</f>
        <v>0</v>
      </c>
      <c r="E58" s="0" t="n">
        <f aca="true">IF($C58=1,OFFSET(E58,-1,0)+MAX(1,COUNTIF(QCI!$A$13:$A$24,OFFSET(ORÇAMENTO!E58,-1,0))),OFFSET(E58,-1,0))</f>
        <v>1</v>
      </c>
      <c r="F58" s="0" t="n">
        <f aca="true">IF($C58=1,0,IF($C58=2,OFFSET(F58,-1,0)+1,OFFSET(F58,-1,0)))</f>
        <v>11</v>
      </c>
      <c r="G58" s="0" t="n">
        <f aca="true">IF(AND($C58&lt;=2,$C58&lt;&gt;0),0,IF($C58=3,OFFSET(G58,-1,0)+1,OFFSET(G58,-1,0)))</f>
        <v>0</v>
      </c>
      <c r="H58" s="0" t="n">
        <f aca="true">IF(AND($C58&lt;=3,$C58&lt;&gt;0),0,IF($C58=4,OFFSET(H58,-1,0)+1,OFFSET(H58,-1,0)))</f>
        <v>0</v>
      </c>
      <c r="I58" s="0" t="n">
        <f aca="true">IF(AND($C58&lt;=4,$C58&lt;&gt;0),0,IF(AND($C58="S",$X58&gt;0),OFFSET(I58,-1,0)+1,OFFSET(I58,-1,0)))</f>
        <v>0</v>
      </c>
      <c r="J58" s="0" t="n">
        <f aca="true">IF(OR($C58="S",$C58=0),0,MATCH(0,OFFSET($D58,1,$C58,ROW($C$59)-ROW($C58)),0))</f>
        <v>0</v>
      </c>
      <c r="K58" s="0" t="n">
        <f aca="true">IF(OR($C58="S",$C58=0),0,MATCH(OFFSET($D58,0,$C58)+IF($C58&lt;&gt;1,1,COUNTIF(QCI!$A$13:$A$24,ORÇAMENTO!E58)),OFFSET($D58,1,$C58,ROW($C$59)-ROW($C58)),0))</f>
        <v>0</v>
      </c>
      <c r="L58" s="204" t="str">
        <f aca="false">IF(OR($X58&gt;0,$C58=1,$C58=2,$C58=3,$C58=4),"F","")</f>
        <v/>
      </c>
      <c r="M58" s="205" t="s">
        <v>767</v>
      </c>
      <c r="N58" s="206" t="str">
        <f aca="false">CHOOSE(1+LOG(1+2*(C58=1)+4*(C58=2)+8*(C58=3)+16*(C58=4)+32*(C58="S"),2),"","Meta","Nível 2","Nível 3","Nível 4","Serviço")</f>
        <v>Serviço</v>
      </c>
      <c r="O58" s="207" t="str">
        <f aca="false">IF(OR($C58=0,$L58=""),"-",CONCATENATE(E58&amp;".",IF(AND($A$5&gt;=2,$C58&gt;=2),F58&amp;".",""),IF(AND($A$5&gt;=3,$C58&gt;=3),G58&amp;".",""),IF(AND($A$5&gt;=4,$C58&gt;=4),H58&amp;".",""),IF($C58="S",I58&amp;".","")))</f>
        <v>-</v>
      </c>
      <c r="P58" s="208" t="s">
        <v>772</v>
      </c>
      <c r="Q58" s="209" t="s">
        <v>866</v>
      </c>
      <c r="R58" s="240" t="str">
        <f aca="true" t="array" ref="R58:R58">IF($C58="S",REFERENCIA.Descricao,"(digite a descrição aqui)")</f>
        <v>(Código não identificado nas referências)</v>
      </c>
      <c r="S58" s="211" t="str">
        <f aca="true" t="array" ref="S58:S58">REFERENCIA.Unidade</f>
        <v>-</v>
      </c>
      <c r="T58" s="212" t="n">
        <f aca="true">OFFSET(CÁLCULO!H$15,ROW($T58)-ROW(T$15),0)</f>
        <v>50</v>
      </c>
      <c r="U58" s="213" t="n">
        <f aca="false">AG58</f>
        <v>0</v>
      </c>
      <c r="V58" s="214" t="s">
        <v>723</v>
      </c>
      <c r="W58" s="212" t="n">
        <f aca="false" t="array" ref="W58:W58">IF($C58="S",ROUND(IF(TIPOORCAMENTO="Proposto",ORÇAMENTO.CustoUnitario*(1+$AH58),ORÇAMENTO.PrecoUnitarioLicitado),15-13*$AF$10),0)</f>
        <v>0</v>
      </c>
      <c r="X58" s="215" t="n">
        <f aca="true" t="array" ref="X58:X58">IF($C58="S",IF(OR(Import.TipoArredondamento&lt;&gt;"TransfereGOV",ACOMPANHAMENTO="BM"),VTOTAL1,SUM(OFFSET(CÁLCULO!$AA$15,ROW($X58)-ROW($X$15),1):OFFSET(CÁLCULO!$AL$15,ROW($X58)-ROW($X$15),-1))),IF($C58=0,0,ROUND(SomaAgrup,15-13*$AF$11)))</f>
        <v>0</v>
      </c>
      <c r="Y58" s="216" t="s">
        <v>776</v>
      </c>
      <c r="Z58" s="0" t="str">
        <f aca="false">IF(AND($C58="S",$X58&gt;0),IF(ISBLANK($Y58),"RA",LEFT($Y58,2)),"")</f>
        <v/>
      </c>
      <c r="AA58" s="217" t="n">
        <f aca="true" t="array" ref="AA58:AA58">IF($C58="S",IF($Z58="CP",$X58,IF($Z58="RA",(($X58)*QCI!$AA$3),0)),SomaAgrup)</f>
        <v>0</v>
      </c>
      <c r="AB58" s="218" t="n">
        <f aca="true" t="array" ref="AB58:AB58">IF($C58="S",IF($Z58="OU",ROUND($X58,2),0),SomaAgrup)</f>
        <v>0</v>
      </c>
      <c r="AC58" s="219" t="str">
        <f aca="false" t="array" ref="AC58:AC58">IF($N58=""," ",
IF(AND($C58&lt;&gt;"S",OR($R58="",$R58="(digite a descrição aqui)")),"DESCRIÇÃO",
IF(AND($C58="S",OR($Q58&lt;&gt;"",$T58&gt;0,$U58&gt;0),$P58=""),"FONTE",
IF(AND($C58="S",$P58&lt;&gt;"",OR($T58&gt;0,$U58&gt;0),$Q58=""),"CÓDIGO",
IF(AND($C58="S",$P58&lt;&gt;"",$Q58&lt;&gt;"",$R58="(Código não identificado nas referências)"),"CÓDIGO N/ID",
IF(AND($C58="S",OR($R58="",$R58="(digite a descrição aqui)"),OR($Q58&lt;&gt;"",$T58&gt;0,$U58&gt;0)),"DESCRIÇÃO",
IF(AND($C58="S",$P58&lt;&gt;"",$Q58&lt;&gt;"",$S58=""),"UNIDADE",
IF(AND($C58="S",$P58&lt;&gt;"",$Q58&lt;&gt;"",$U58=0),"SEM CUSTO",
IF(AND(TIPOORCAMENTO="Licitado",$AL58=0,$AN58&gt;0),"SEM PREÇO",
IF(AND($C58="S",$P58&lt;&gt;"",$Q58&lt;&gt;"",$U58&gt;0,AND($V58&lt;&gt;"BDI 1",$V58&lt;&gt;"BDI 2",$V58&lt;&gt;"BDI 3")),IF(ISNUMBER($V58),"JUSTIFICAR BDI","BDI"),
IF(OR(AND(import.recurso="OGU",TIPOORCAMENTO="Proposto",LEFT($O$8,5)&lt;&gt;"(N/D:",$AG58&lt;&gt;"",ORÇAMENTO.CustoUnitario&gt;$AG58),AND(TIPOORCAMENTO="LICITADO",ORÇAMENTO.PrecoUnitarioLicitado&gt;$AN58)),"ACIMA REF.",
IF(AND($C58="S",$P58&lt;&gt;"",$Q58&lt;&gt;"",$T58=0,$U58&gt;0),"QUANT.",
IF(AND(Import.TipoArredondamento="TransfereGOV",$L58="F",$C58="S",LEN($Q58)&gt;13),"Código &gt;13",
IF(AND(Import.TipoArredondamento="TransfereGOV",$L58="F",$C58&lt;&gt;"S",LEN($R58)&gt;100),"Descrição &gt;100",
IF(AND(Import.TipoArredondamento="TransfereGOV",$L58="F",$C58="S",LEN($R58)&gt;500),"Descrição &gt;500",
IF(AND(Import.TipoArredondamento="TransfereGOV",$L58="F",$C58="S",LEFT(TRIM(UPPER($P58)),6)&lt;&gt;"SINAPI",ISNA(VLOOKUP(TRIM(UPPER($S58)),ListaTgov.Unidades,1,FALSE()))),"Unid. Não Disp",
" "))))))))))))))))</f>
        <v>CÓDIGO N/ID</v>
      </c>
      <c r="AD58" s="0" t="str">
        <f aca="true">IF(C58&lt;=CRONO.NivelExibicao,MAX($AD$15:OFFSET(AD58,-1,0))+IF($C58&lt;&gt;1,1,MAX(1,COUNTIF(QCI!$A$13:$A$24,OFFSET($E58,-1,0)))),"")</f>
        <v/>
      </c>
      <c r="AE58" s="48" t="str">
        <f aca="false" t="array" ref="AE58:AE58">IF(AND($C58="S",ORÇAMENTO.CodBarra&lt;&gt;""),IF(ORÇAMENTO.Fonte="",ORÇAMENTO.CodBarra,CONCATENATE(ORÇAMENTO.Fonte," ",ORÇAMENTO.CodBarra)))</f>
        <v>Cotação 7</v>
      </c>
      <c r="AF58" s="63" t="str">
        <f aca="true" t="array" ref="AF58:AF58">IF(ISERROR(ORÇAMENTO.BancoRef),"(abra o arquivo 'Referência "&amp;Excel_BuiltIn_Database&amp;".xlsm)",IF(OR($C58&lt;&gt;"S",ORÇAMENTO.CodBarra=""),"(Sem Código)",IF(ISERROR(MATCH($AE58,INDIRECT(ORÇAMENTO.BancoRef),0)),"(Código não identificado nas referências)",MATCH($AE58,INDIRECT(ORÇAMENTO.BancoRef),0))))</f>
        <v>(Código não identificado nas referências)</v>
      </c>
      <c r="AG58" s="220" t="n">
        <f aca="true" t="array" ref="AG58:AG58">ROUND(IF(DESONERACAO="sim",REFERENCIA.Desonerado,REFERENCIA.NaoDesonerado),2)</f>
        <v>0</v>
      </c>
      <c r="AH58" s="221" t="n">
        <f aca="false">ROUND(IF(ISNUMBER(ORÇAMENTO.OpcaoBDI),ORÇAMENTO.OpcaoBDI,IF(LEFT(ORÇAMENTO.OpcaoBDI,3)="BDI",HLOOKUP(ORÇAMENTO.OpcaoBDI,$F$4:$H$5,2,FALSE()),0)),15-11*$AF$9)</f>
        <v>0.25</v>
      </c>
      <c r="AJ58" s="222" t="n">
        <v>50</v>
      </c>
      <c r="AL58" s="223"/>
      <c r="AM58" s="224" t="n">
        <f aca="false">$X58</f>
        <v>0</v>
      </c>
      <c r="AN58" s="225" t="n">
        <f aca="false" t="array" ref="AN58:AN58">ROUND(ORÇAMENTO.CustoUnitario*(1+$AH58),2)</f>
        <v>0</v>
      </c>
    </row>
    <row r="59" customFormat="false" ht="4.5" hidden="false" customHeight="true" outlineLevel="0" collapsed="false">
      <c r="A59" s="0" t="n">
        <v>-1</v>
      </c>
      <c r="C59" s="0" t="n">
        <v>-1</v>
      </c>
      <c r="E59" s="0" t="n">
        <v>0</v>
      </c>
      <c r="F59" s="0" t="n">
        <v>0</v>
      </c>
      <c r="G59" s="0" t="n">
        <v>0</v>
      </c>
      <c r="H59" s="0" t="n">
        <v>0</v>
      </c>
      <c r="I59" s="0" t="n">
        <v>0</v>
      </c>
      <c r="L59" s="204" t="s">
        <v>596</v>
      </c>
      <c r="M59" s="242"/>
      <c r="N59" s="243"/>
      <c r="O59" s="242"/>
      <c r="P59" s="244"/>
      <c r="Q59" s="244"/>
      <c r="R59" s="244"/>
      <c r="S59" s="244"/>
      <c r="T59" s="244"/>
      <c r="U59" s="244"/>
      <c r="V59" s="244"/>
      <c r="W59" s="244"/>
      <c r="X59" s="243"/>
      <c r="Y59" s="243"/>
      <c r="AC59" s="219" t="str">
        <f aca="false" t="array" ref="AC59:AC59">IF($N59=""," ",
IF(AND($C59&lt;&gt;"S",OR($R59="",$R59="(digite a descrição aqui)")),"DESCRIÇÃO",
IF(AND($C59="S",OR($Q59&lt;&gt;"",$T59&gt;0,$U59&gt;0),$P59=""),"FONTE",
IF(AND($C59="S",$P59&lt;&gt;"",OR($T59&gt;0,$U59&gt;0),$Q59=""),"CÓDIGO",
IF(AND($C59="S",$P59&lt;&gt;"",$Q59&lt;&gt;"",$R59="(Código não identificado nas referências)"),"CÓDIGO N/ID",
IF(AND($C59="S",OR($R59="",$R59="(digite a descrição aqui)"),OR($Q59&lt;&gt;"",$T59&gt;0,$U59&gt;0)),"DESCRIÇÃO",
IF(AND($C59="S",$P59&lt;&gt;"",$Q59&lt;&gt;"",$S59=""),"UNIDADE",
IF(AND($C59="S",$P59&lt;&gt;"",$Q59&lt;&gt;"",$U59=0),"SEM CUSTO",
IF(AND(TIPOORCAMENTO="Licitado",$AL59=0,$AN59&gt;0),"SEM PREÇO",
IF(AND($C59="S",$P59&lt;&gt;"",$Q59&lt;&gt;"",$U59&gt;0,AND($V59&lt;&gt;"BDI 1",$V59&lt;&gt;"BDI 2",$V59&lt;&gt;"BDI 3")),IF(ISNUMBER($V59),"JUSTIFICAR BDI","BDI"),
IF(OR(AND(import.recurso="OGU",TIPOORCAMENTO="Proposto",LEFT($O$8,5)&lt;&gt;"(N/D:",$AG59&lt;&gt;"",ORÇAMENTO.CustoUnitario&gt;$AG59),AND(TIPOORCAMENTO="LICITADO",ORÇAMENTO.PrecoUnitarioLicitado&gt;$AN59)),"ACIMA REF.",
IF(AND($C59="S",$P59&lt;&gt;"",$Q59&lt;&gt;"",$T59=0,$U59&gt;0),"QUANT.",
IF(AND(Import.TipoArredondamento="TransfereGOV",$L59="F",$C59="S",LEN($Q59)&gt;13),"Código &gt;13",
IF(AND(Import.TipoArredondamento="TransfereGOV",$L59="F",$C59&lt;&gt;"S",LEN($R59)&gt;100),"Descrição &gt;100",
IF(AND(Import.TipoArredondamento="TransfereGOV",$L59="F",$C59="S",LEN($R59)&gt;500),"Descrição &gt;500",
IF(AND(Import.TipoArredondamento="TransfereGOV",$L59="F",$C59="S",LEFT(TRIM(UPPER($P59)),6)&lt;&gt;"SINAPI",ISNA(VLOOKUP(TRIM(UPPER($S59)),ListaTgov.Unidades,1,FALSE()))),"Unid. Não Disp",
" "))))))))))))))))</f>
        <v> </v>
      </c>
      <c r="AF59" s="63"/>
      <c r="AG59" s="245"/>
      <c r="AH59" s="246"/>
      <c r="AJ59" s="247"/>
      <c r="AL59" s="245"/>
      <c r="AM59" s="248"/>
      <c r="AN59" s="246"/>
    </row>
    <row r="60" customFormat="false" ht="12.75" hidden="false" customHeight="false" outlineLevel="0" collapsed="false">
      <c r="AF60" s="63"/>
    </row>
    <row r="61" customFormat="false" ht="12.75" hidden="false" customHeight="false" outlineLevel="0" collapsed="false">
      <c r="AF61" s="63"/>
    </row>
    <row r="62" customFormat="false" ht="13.8" hidden="false" customHeight="false" outlineLevel="0" collapsed="false">
      <c r="O62" s="249" t="s">
        <v>867</v>
      </c>
      <c r="Q62" s="250" t="s">
        <v>868</v>
      </c>
      <c r="R62" s="250"/>
      <c r="S62" s="250"/>
      <c r="T62" s="250"/>
      <c r="U62" s="250"/>
      <c r="V62" s="250"/>
      <c r="W62" s="250"/>
      <c r="X62" s="250"/>
      <c r="AF62" s="63"/>
    </row>
    <row r="63" customFormat="false" ht="12.75" hidden="false" customHeight="false" outlineLevel="0" collapsed="false">
      <c r="AF63" s="63"/>
    </row>
    <row r="64" customFormat="false" ht="13.8" hidden="false" customHeight="false" outlineLevel="0" collapsed="false">
      <c r="O64" s="251" t="s">
        <v>751</v>
      </c>
      <c r="X64" s="8"/>
      <c r="AF64" s="63"/>
    </row>
    <row r="65" customFormat="false" ht="12.75" hidden="false" customHeight="true" outlineLevel="0" collapsed="false">
      <c r="O65" s="252"/>
      <c r="P65" s="252"/>
      <c r="Q65" s="252"/>
      <c r="R65" s="252"/>
      <c r="S65" s="252"/>
      <c r="T65" s="252"/>
      <c r="U65" s="252"/>
      <c r="V65" s="252"/>
      <c r="W65" s="252"/>
      <c r="X65" s="252"/>
      <c r="AF65" s="63"/>
    </row>
    <row r="66" customFormat="false" ht="12.75" hidden="false" customHeight="false" outlineLevel="0" collapsed="false">
      <c r="O66" s="252"/>
      <c r="P66" s="252"/>
      <c r="Q66" s="252"/>
      <c r="R66" s="252"/>
      <c r="S66" s="252"/>
      <c r="T66" s="252"/>
      <c r="U66" s="252"/>
      <c r="V66" s="252"/>
      <c r="W66" s="252"/>
      <c r="X66" s="252"/>
      <c r="AF66" s="63"/>
    </row>
    <row r="67" customFormat="false" ht="12.75" hidden="false" customHeight="false" outlineLevel="0" collapsed="false">
      <c r="O67" s="252"/>
      <c r="P67" s="252"/>
      <c r="Q67" s="252"/>
      <c r="R67" s="252"/>
      <c r="S67" s="252"/>
      <c r="T67" s="252"/>
      <c r="U67" s="252"/>
      <c r="V67" s="252"/>
      <c r="W67" s="252"/>
      <c r="X67" s="252"/>
      <c r="AF67" s="63"/>
    </row>
    <row r="68" customFormat="false" ht="13.8" hidden="false" customHeight="false" outlineLevel="0" collapsed="false">
      <c r="O68" s="253"/>
      <c r="P68" s="253"/>
      <c r="Q68" s="253"/>
      <c r="R68" s="253"/>
      <c r="S68" s="253"/>
      <c r="T68" s="253"/>
      <c r="U68" s="253"/>
      <c r="V68" s="253"/>
      <c r="W68" s="253"/>
      <c r="X68" s="253"/>
      <c r="Y68" s="253"/>
      <c r="Z68" s="254"/>
      <c r="AA68" s="254"/>
      <c r="AB68" s="254"/>
      <c r="AF68" s="63"/>
    </row>
    <row r="69" customFormat="false" ht="14.15" hidden="false" customHeight="false" outlineLevel="0" collapsed="false">
      <c r="O69" s="255" t="str">
        <f aca="false">IF(AND($AF$7=FALSE(),$AF$8=FALSE(),$AF$9=FALSE(),$AF$10=FALSE(),$AF$11=FALSE()),"Não foi considerado arredondamento nos valores da planilha.",CONCATENATE("Foi considerado arredondamento de duas casas decimais para ",IF($AF$7=TRUE(),"Quantidade; ",""),IF($AF$8=TRUE(),"Custo Unitário; ",""),IF($AF$9=TRUE(),"BDI; ",""),IF($AF$10=TRUE(),"Preço Unitário; ",""),IF($AF$11=TRUE(),"Preço Total.","")))</f>
        <v>Foi considerado arredondamento de duas casas decimais para Quantidade; Custo Unitário; BDI; Preço Unitário; Preço Total.</v>
      </c>
      <c r="P69" s="255"/>
      <c r="Q69" s="255"/>
      <c r="R69" s="255"/>
      <c r="S69" s="255"/>
      <c r="T69" s="255"/>
      <c r="U69" s="255"/>
      <c r="V69" s="255"/>
      <c r="W69" s="255"/>
      <c r="X69" s="255"/>
      <c r="Y69" s="256"/>
      <c r="Z69" s="256"/>
      <c r="AA69" s="256"/>
      <c r="AB69" s="256"/>
      <c r="AF69" s="63"/>
    </row>
    <row r="70" customFormat="false" ht="15" hidden="false" customHeight="true" outlineLevel="0" collapsed="false">
      <c r="O70" s="257" t="s">
        <v>869</v>
      </c>
      <c r="P70" s="257"/>
      <c r="Q70" s="257"/>
      <c r="R70" s="257"/>
      <c r="S70" s="257"/>
      <c r="T70" s="257"/>
      <c r="U70" s="257"/>
      <c r="V70" s="257"/>
      <c r="W70" s="257"/>
      <c r="X70" s="257"/>
      <c r="Y70" s="256"/>
      <c r="Z70" s="256"/>
      <c r="AA70" s="256"/>
      <c r="AB70" s="256"/>
      <c r="AF70" s="63"/>
    </row>
    <row r="71" customFormat="false" ht="12.75" hidden="false" customHeight="false" outlineLevel="0" collapsed="false">
      <c r="AF71" s="63"/>
    </row>
    <row r="72" customFormat="false" ht="30" hidden="false" customHeight="true" outlineLevel="0" collapsed="false">
      <c r="O72" s="258" t="str">
        <f aca="false">Import.Município</f>
        <v>TRAMANDAI/RS</v>
      </c>
      <c r="P72" s="258"/>
      <c r="Q72" s="258"/>
      <c r="S72" s="259"/>
      <c r="T72" s="259"/>
      <c r="U72" s="259"/>
      <c r="V72" s="259"/>
      <c r="W72" s="46"/>
      <c r="AF72" s="63"/>
    </row>
    <row r="73" customFormat="false" ht="12.75" hidden="false" customHeight="false" outlineLevel="0" collapsed="false">
      <c r="O73" s="52" t="s">
        <v>755</v>
      </c>
      <c r="S73" s="260" t="s">
        <v>758</v>
      </c>
      <c r="T73" s="260"/>
      <c r="U73" s="260"/>
      <c r="V73" s="260"/>
      <c r="AF73" s="63"/>
    </row>
    <row r="74" customFormat="false" ht="12.75" hidden="false" customHeight="false" outlineLevel="0" collapsed="false">
      <c r="S74" s="148" t="s">
        <v>297</v>
      </c>
      <c r="T74" s="149" t="str">
        <f aca="false" t="array" ref="T74:T76">Import.RespOrçamento</f>
        <v>Jaqueline Ferreira / Marcio R. Maciel</v>
      </c>
      <c r="V74" s="150"/>
      <c r="AF74" s="63"/>
    </row>
    <row r="75" customFormat="false" ht="12.75" hidden="false" customHeight="false" outlineLevel="0" collapsed="false">
      <c r="O75" s="261" t="n">
        <f aca="false">DADOS!$C$25</f>
        <v>46098</v>
      </c>
      <c r="P75" s="261"/>
      <c r="Q75" s="261"/>
      <c r="S75" s="148" t="s">
        <v>301</v>
      </c>
      <c r="T75" s="149" t="str">
        <v> CAU A152414-3  / CREA RS236197</v>
      </c>
      <c r="U75" s="150"/>
      <c r="V75" s="150"/>
      <c r="AF75" s="63"/>
    </row>
    <row r="76" customFormat="false" ht="12.75" hidden="false" customHeight="false" outlineLevel="0" collapsed="false">
      <c r="O76" s="262" t="s">
        <v>756</v>
      </c>
      <c r="P76" s="32"/>
      <c r="Q76" s="32"/>
      <c r="S76" s="148" t="s">
        <v>305</v>
      </c>
      <c r="T76" s="149" t="n">
        <v>0</v>
      </c>
      <c r="U76" s="150"/>
      <c r="V76" s="150"/>
      <c r="AF76" s="63"/>
    </row>
    <row r="77" customFormat="false" ht="12.75" hidden="false" customHeight="false" outlineLevel="0" collapsed="false">
      <c r="AF77" s="63"/>
    </row>
    <row r="78" customFormat="false" ht="12.75" hidden="false" customHeight="false" outlineLevel="0" collapsed="false">
      <c r="AF78" s="63"/>
    </row>
    <row r="79" customFormat="false" ht="12.75" hidden="false" customHeight="false" outlineLevel="0" collapsed="false">
      <c r="AF79" s="63"/>
    </row>
    <row r="80" customFormat="false" ht="12.75" hidden="false" customHeight="false" outlineLevel="0" collapsed="false">
      <c r="AF80" s="63"/>
    </row>
    <row r="81" customFormat="false" ht="12.75" hidden="false" customHeight="false" outlineLevel="0" collapsed="false">
      <c r="AF81" s="63"/>
    </row>
    <row r="82" customFormat="false" ht="12.75" hidden="false" customHeight="false" outlineLevel="0" collapsed="false">
      <c r="AF82" s="63"/>
    </row>
    <row r="83" customFormat="false" ht="12.75" hidden="false" customHeight="false" outlineLevel="0" collapsed="false">
      <c r="AF83" s="63"/>
    </row>
    <row r="84" customFormat="false" ht="12.75" hidden="false" customHeight="false" outlineLevel="0" collapsed="false">
      <c r="AF84" s="63"/>
    </row>
    <row r="85" customFormat="false" ht="12.75" hidden="false" customHeight="false" outlineLevel="0" collapsed="false">
      <c r="AF85" s="63"/>
    </row>
    <row r="86" customFormat="false" ht="12.75" hidden="false" customHeight="false" outlineLevel="0" collapsed="false">
      <c r="AF86" s="63"/>
    </row>
    <row r="87" customFormat="false" ht="12.75" hidden="false" customHeight="false" outlineLevel="0" collapsed="false">
      <c r="AF87" s="63"/>
    </row>
    <row r="88" customFormat="false" ht="12.75" hidden="false" customHeight="false" outlineLevel="0" collapsed="false">
      <c r="AF88" s="63"/>
    </row>
    <row r="89" customFormat="false" ht="12.75" hidden="false" customHeight="false" outlineLevel="0" collapsed="false">
      <c r="AF89" s="63"/>
    </row>
    <row r="90" customFormat="false" ht="12.75" hidden="false" customHeight="false" outlineLevel="0" collapsed="false">
      <c r="AF90" s="63"/>
    </row>
    <row r="91" customFormat="false" ht="12.75" hidden="false" customHeight="false" outlineLevel="0" collapsed="false">
      <c r="AF91" s="63"/>
    </row>
    <row r="92" customFormat="false" ht="12.75" hidden="false" customHeight="false" outlineLevel="0" collapsed="false">
      <c r="AF92" s="63"/>
    </row>
    <row r="93" customFormat="false" ht="12.75" hidden="false" customHeight="false" outlineLevel="0" collapsed="false">
      <c r="AF93" s="63"/>
    </row>
    <row r="94" customFormat="false" ht="12.75" hidden="false" customHeight="false" outlineLevel="0" collapsed="false">
      <c r="AF94" s="63"/>
    </row>
    <row r="95" customFormat="false" ht="12.75" hidden="false" customHeight="false" outlineLevel="0" collapsed="false">
      <c r="AF95" s="63"/>
    </row>
    <row r="96" customFormat="false" ht="12.75" hidden="false" customHeight="false" outlineLevel="0" collapsed="false">
      <c r="AF96" s="63"/>
    </row>
    <row r="97" customFormat="false" ht="12.75" hidden="false" customHeight="false" outlineLevel="0" collapsed="false">
      <c r="AF97" s="63"/>
    </row>
    <row r="98" customFormat="false" ht="12.75" hidden="false" customHeight="false" outlineLevel="0" collapsed="false">
      <c r="AF98" s="63"/>
    </row>
    <row r="99" customFormat="false" ht="12.75" hidden="false" customHeight="false" outlineLevel="0" collapsed="false">
      <c r="AF99" s="63"/>
    </row>
    <row r="100" customFormat="false" ht="12.75" hidden="false" customHeight="false" outlineLevel="0" collapsed="false">
      <c r="AF100" s="63"/>
    </row>
    <row r="101" customFormat="false" ht="12.75" hidden="false" customHeight="false" outlineLevel="0" collapsed="false">
      <c r="AF101" s="63"/>
    </row>
    <row r="102" customFormat="false" ht="12.75" hidden="false" customHeight="false" outlineLevel="0" collapsed="false">
      <c r="AF102" s="63"/>
    </row>
    <row r="103" customFormat="false" ht="12.75" hidden="false" customHeight="false" outlineLevel="0" collapsed="false">
      <c r="AF103" s="63"/>
    </row>
    <row r="104" customFormat="false" ht="12.75" hidden="false" customHeight="false" outlineLevel="0" collapsed="false">
      <c r="AF104" s="63"/>
    </row>
    <row r="105" customFormat="false" ht="12.75" hidden="false" customHeight="false" outlineLevel="0" collapsed="false">
      <c r="AF105" s="63"/>
    </row>
    <row r="106" customFormat="false" ht="12.75" hidden="false" customHeight="false" outlineLevel="0" collapsed="false">
      <c r="AF106" s="63"/>
    </row>
    <row r="107" customFormat="false" ht="12.75" hidden="false" customHeight="false" outlineLevel="0" collapsed="false">
      <c r="AF107" s="63"/>
    </row>
    <row r="108" customFormat="false" ht="12.75" hidden="false" customHeight="false" outlineLevel="0" collapsed="false">
      <c r="AF108" s="63"/>
    </row>
    <row r="109" customFormat="false" ht="12.75" hidden="false" customHeight="false" outlineLevel="0" collapsed="false">
      <c r="AF109" s="63"/>
    </row>
    <row r="110" customFormat="false" ht="12.75" hidden="false" customHeight="false" outlineLevel="0" collapsed="false">
      <c r="AF110" s="63"/>
    </row>
    <row r="111" customFormat="false" ht="12.75" hidden="false" customHeight="false" outlineLevel="0" collapsed="false">
      <c r="AF111" s="63"/>
    </row>
    <row r="112" customFormat="false" ht="12.75" hidden="false" customHeight="false" outlineLevel="0" collapsed="false">
      <c r="AF112" s="63"/>
    </row>
    <row r="113" customFormat="false" ht="12.75" hidden="false" customHeight="false" outlineLevel="0" collapsed="false">
      <c r="AF113" s="63"/>
    </row>
    <row r="114" customFormat="false" ht="12.75" hidden="false" customHeight="false" outlineLevel="0" collapsed="false">
      <c r="AF114" s="63"/>
    </row>
    <row r="115" customFormat="false" ht="12.75" hidden="false" customHeight="false" outlineLevel="0" collapsed="false">
      <c r="AF115" s="63"/>
    </row>
    <row r="116" customFormat="false" ht="12.75" hidden="false" customHeight="false" outlineLevel="0" collapsed="false">
      <c r="AF116" s="63"/>
    </row>
    <row r="117" customFormat="false" ht="12.75" hidden="false" customHeight="false" outlineLevel="0" collapsed="false">
      <c r="AF117" s="63"/>
    </row>
    <row r="118" customFormat="false" ht="12.75" hidden="false" customHeight="false" outlineLevel="0" collapsed="false">
      <c r="AF118" s="63"/>
    </row>
    <row r="119" customFormat="false" ht="12.75" hidden="false" customHeight="false" outlineLevel="0" collapsed="false">
      <c r="AF119" s="63"/>
    </row>
    <row r="120" customFormat="false" ht="12.75" hidden="false" customHeight="false" outlineLevel="0" collapsed="false">
      <c r="AF120" s="63"/>
    </row>
    <row r="121" customFormat="false" ht="12.75" hidden="false" customHeight="false" outlineLevel="0" collapsed="false">
      <c r="AF121" s="63"/>
    </row>
    <row r="122" customFormat="false" ht="12.75" hidden="false" customHeight="false" outlineLevel="0" collapsed="false">
      <c r="AF122" s="63"/>
    </row>
    <row r="123" customFormat="false" ht="12.75" hidden="false" customHeight="false" outlineLevel="0" collapsed="false">
      <c r="AF123" s="63"/>
    </row>
    <row r="124" customFormat="false" ht="12.75" hidden="false" customHeight="false" outlineLevel="0" collapsed="false">
      <c r="AF124" s="63"/>
    </row>
    <row r="125" customFormat="false" ht="12.75" hidden="false" customHeight="false" outlineLevel="0" collapsed="false">
      <c r="AF125" s="63"/>
    </row>
    <row r="126" customFormat="false" ht="12.75" hidden="false" customHeight="false" outlineLevel="0" collapsed="false">
      <c r="AF126" s="63"/>
    </row>
    <row r="127" customFormat="false" ht="12.75" hidden="false" customHeight="false" outlineLevel="0" collapsed="false">
      <c r="AF127" s="63"/>
    </row>
    <row r="128" customFormat="false" ht="12.75" hidden="false" customHeight="false" outlineLevel="0" collapsed="false">
      <c r="AF128" s="63"/>
    </row>
    <row r="129" customFormat="false" ht="12.75" hidden="false" customHeight="false" outlineLevel="0" collapsed="false">
      <c r="AF129" s="63"/>
    </row>
    <row r="130" customFormat="false" ht="12.75" hidden="false" customHeight="false" outlineLevel="0" collapsed="false">
      <c r="AF130" s="63"/>
    </row>
    <row r="131" customFormat="false" ht="12.75" hidden="false" customHeight="false" outlineLevel="0" collapsed="false">
      <c r="AF131" s="63"/>
    </row>
    <row r="132" customFormat="false" ht="12.75" hidden="false" customHeight="false" outlineLevel="0" collapsed="false">
      <c r="AF132" s="63"/>
    </row>
    <row r="133" customFormat="false" ht="12.75" hidden="false" customHeight="false" outlineLevel="0" collapsed="false">
      <c r="AF133" s="63"/>
    </row>
    <row r="134" customFormat="false" ht="12.75" hidden="false" customHeight="false" outlineLevel="0" collapsed="false">
      <c r="AF134" s="63"/>
    </row>
    <row r="135" customFormat="false" ht="12.75" hidden="false" customHeight="false" outlineLevel="0" collapsed="false">
      <c r="AF135" s="63"/>
    </row>
    <row r="136" customFormat="false" ht="12.75" hidden="false" customHeight="false" outlineLevel="0" collapsed="false">
      <c r="AF136" s="63"/>
    </row>
    <row r="137" customFormat="false" ht="12.75" hidden="false" customHeight="false" outlineLevel="0" collapsed="false">
      <c r="AF137" s="63"/>
    </row>
    <row r="138" customFormat="false" ht="12.75" hidden="false" customHeight="false" outlineLevel="0" collapsed="false">
      <c r="AF138" s="63"/>
    </row>
    <row r="139" customFormat="false" ht="12.75" hidden="false" customHeight="false" outlineLevel="0" collapsed="false">
      <c r="AF139" s="63"/>
    </row>
    <row r="140" customFormat="false" ht="12.75" hidden="false" customHeight="false" outlineLevel="0" collapsed="false">
      <c r="AF140" s="63"/>
    </row>
    <row r="141" customFormat="false" ht="12.75" hidden="false" customHeight="false" outlineLevel="0" collapsed="false">
      <c r="AF141" s="63"/>
    </row>
    <row r="142" customFormat="false" ht="12.75" hidden="false" customHeight="false" outlineLevel="0" collapsed="false">
      <c r="AF142" s="63"/>
    </row>
    <row r="143" customFormat="false" ht="12.75" hidden="false" customHeight="false" outlineLevel="0" collapsed="false">
      <c r="AF143" s="63"/>
    </row>
    <row r="144" customFormat="false" ht="12.75" hidden="false" customHeight="false" outlineLevel="0" collapsed="false">
      <c r="AF144" s="63"/>
    </row>
    <row r="145" customFormat="false" ht="12.75" hidden="false" customHeight="false" outlineLevel="0" collapsed="false">
      <c r="AF145" s="63"/>
    </row>
    <row r="146" customFormat="false" ht="12.75" hidden="false" customHeight="false" outlineLevel="0" collapsed="false">
      <c r="AF146" s="63"/>
    </row>
    <row r="147" customFormat="false" ht="12.75" hidden="false" customHeight="false" outlineLevel="0" collapsed="false">
      <c r="AF147" s="63"/>
    </row>
    <row r="148" customFormat="false" ht="12.75" hidden="false" customHeight="false" outlineLevel="0" collapsed="false">
      <c r="AF148" s="63"/>
    </row>
    <row r="149" customFormat="false" ht="12.75" hidden="false" customHeight="false" outlineLevel="0" collapsed="false">
      <c r="AF149" s="63"/>
    </row>
    <row r="150" customFormat="false" ht="12.75" hidden="false" customHeight="false" outlineLevel="0" collapsed="false">
      <c r="AF150" s="63"/>
    </row>
    <row r="151" customFormat="false" ht="12.75" hidden="false" customHeight="false" outlineLevel="0" collapsed="false">
      <c r="AF151" s="63"/>
    </row>
    <row r="152" customFormat="false" ht="12.75" hidden="false" customHeight="false" outlineLevel="0" collapsed="false">
      <c r="AF152" s="63"/>
    </row>
    <row r="153" customFormat="false" ht="12.75" hidden="false" customHeight="false" outlineLevel="0" collapsed="false">
      <c r="AF153" s="63"/>
    </row>
    <row r="154" customFormat="false" ht="12.75" hidden="false" customHeight="false" outlineLevel="0" collapsed="false">
      <c r="AF154" s="63"/>
    </row>
    <row r="155" customFormat="false" ht="12.75" hidden="false" customHeight="false" outlineLevel="0" collapsed="false">
      <c r="AF155" s="63"/>
    </row>
    <row r="156" customFormat="false" ht="12.75" hidden="false" customHeight="false" outlineLevel="0" collapsed="false">
      <c r="AF156" s="63"/>
    </row>
    <row r="157" customFormat="false" ht="12.75" hidden="false" customHeight="false" outlineLevel="0" collapsed="false">
      <c r="AF157" s="63"/>
    </row>
    <row r="158" customFormat="false" ht="12.75" hidden="false" customHeight="false" outlineLevel="0" collapsed="false">
      <c r="AF158" s="63"/>
    </row>
    <row r="159" customFormat="false" ht="12.75" hidden="false" customHeight="false" outlineLevel="0" collapsed="false">
      <c r="AF159" s="63"/>
    </row>
    <row r="160" customFormat="false" ht="12.75" hidden="false" customHeight="false" outlineLevel="0" collapsed="false">
      <c r="AF160" s="63"/>
    </row>
    <row r="161" customFormat="false" ht="12.75" hidden="false" customHeight="false" outlineLevel="0" collapsed="false">
      <c r="AF161" s="63"/>
    </row>
    <row r="162" customFormat="false" ht="12.75" hidden="false" customHeight="false" outlineLevel="0" collapsed="false">
      <c r="AF162" s="63"/>
    </row>
    <row r="163" customFormat="false" ht="12.75" hidden="false" customHeight="false" outlineLevel="0" collapsed="false">
      <c r="AF163" s="63"/>
    </row>
    <row r="164" customFormat="false" ht="12.75" hidden="false" customHeight="false" outlineLevel="0" collapsed="false">
      <c r="AF164" s="63"/>
    </row>
    <row r="165" customFormat="false" ht="12.75" hidden="false" customHeight="false" outlineLevel="0" collapsed="false">
      <c r="AF165" s="63"/>
    </row>
    <row r="166" customFormat="false" ht="12.75" hidden="false" customHeight="false" outlineLevel="0" collapsed="false">
      <c r="AF166" s="63"/>
    </row>
    <row r="167" customFormat="false" ht="12.75" hidden="false" customHeight="false" outlineLevel="0" collapsed="false">
      <c r="AF167" s="63"/>
    </row>
    <row r="168" customFormat="false" ht="12.75" hidden="false" customHeight="false" outlineLevel="0" collapsed="false">
      <c r="AF168" s="63"/>
    </row>
    <row r="169" customFormat="false" ht="12.75" hidden="false" customHeight="false" outlineLevel="0" collapsed="false">
      <c r="AF169" s="63"/>
    </row>
    <row r="170" customFormat="false" ht="12.75" hidden="false" customHeight="false" outlineLevel="0" collapsed="false">
      <c r="AF170" s="63"/>
    </row>
    <row r="171" customFormat="false" ht="12.75" hidden="false" customHeight="false" outlineLevel="0" collapsed="false">
      <c r="AF171" s="63"/>
    </row>
    <row r="172" customFormat="false" ht="12.75" hidden="false" customHeight="false" outlineLevel="0" collapsed="false">
      <c r="AF172" s="63"/>
    </row>
    <row r="173" customFormat="false" ht="12.75" hidden="false" customHeight="false" outlineLevel="0" collapsed="false">
      <c r="AF173" s="63"/>
    </row>
    <row r="174" customFormat="false" ht="12.75" hidden="false" customHeight="false" outlineLevel="0" collapsed="false">
      <c r="AF174" s="63"/>
    </row>
    <row r="175" customFormat="false" ht="12.75" hidden="false" customHeight="false" outlineLevel="0" collapsed="false">
      <c r="AF175" s="63"/>
    </row>
    <row r="176" customFormat="false" ht="12.75" hidden="false" customHeight="false" outlineLevel="0" collapsed="false">
      <c r="AF176" s="63"/>
    </row>
    <row r="177" customFormat="false" ht="12.75" hidden="false" customHeight="false" outlineLevel="0" collapsed="false">
      <c r="AF177" s="63"/>
    </row>
    <row r="178" customFormat="false" ht="12.75" hidden="false" customHeight="false" outlineLevel="0" collapsed="false">
      <c r="AF178" s="63"/>
    </row>
    <row r="179" customFormat="false" ht="12.75" hidden="false" customHeight="false" outlineLevel="0" collapsed="false">
      <c r="AF179" s="63"/>
    </row>
    <row r="180" customFormat="false" ht="12.75" hidden="false" customHeight="false" outlineLevel="0" collapsed="false">
      <c r="AF180" s="63"/>
    </row>
    <row r="181" customFormat="false" ht="12.75" hidden="false" customHeight="false" outlineLevel="0" collapsed="false">
      <c r="AF181" s="63"/>
    </row>
    <row r="182" customFormat="false" ht="12.75" hidden="false" customHeight="false" outlineLevel="0" collapsed="false">
      <c r="AF182" s="63"/>
    </row>
    <row r="183" customFormat="false" ht="12.75" hidden="false" customHeight="false" outlineLevel="0" collapsed="false">
      <c r="AF183" s="63"/>
    </row>
    <row r="184" customFormat="false" ht="12.75" hidden="false" customHeight="false" outlineLevel="0" collapsed="false">
      <c r="AF184" s="63"/>
    </row>
    <row r="185" customFormat="false" ht="12.75" hidden="false" customHeight="false" outlineLevel="0" collapsed="false">
      <c r="AF185" s="63"/>
    </row>
    <row r="186" customFormat="false" ht="12.75" hidden="false" customHeight="false" outlineLevel="0" collapsed="false">
      <c r="AF186" s="63"/>
    </row>
    <row r="187" customFormat="false" ht="12.75" hidden="false" customHeight="false" outlineLevel="0" collapsed="false">
      <c r="AF187" s="63"/>
    </row>
    <row r="188" customFormat="false" ht="12.75" hidden="false" customHeight="false" outlineLevel="0" collapsed="false">
      <c r="AF188" s="63"/>
    </row>
    <row r="189" customFormat="false" ht="12.75" hidden="false" customHeight="false" outlineLevel="0" collapsed="false">
      <c r="AF189" s="63"/>
    </row>
    <row r="190" customFormat="false" ht="12.75" hidden="false" customHeight="false" outlineLevel="0" collapsed="false">
      <c r="AF190" s="63"/>
    </row>
    <row r="191" customFormat="false" ht="12.75" hidden="false" customHeight="false" outlineLevel="0" collapsed="false">
      <c r="AF191" s="63"/>
    </row>
    <row r="192" customFormat="false" ht="12.75" hidden="false" customHeight="false" outlineLevel="0" collapsed="false">
      <c r="AF192" s="63"/>
    </row>
    <row r="193" customFormat="false" ht="12.75" hidden="false" customHeight="false" outlineLevel="0" collapsed="false">
      <c r="AF193" s="63"/>
    </row>
    <row r="194" customFormat="false" ht="12.75" hidden="false" customHeight="false" outlineLevel="0" collapsed="false">
      <c r="AF194" s="63"/>
    </row>
    <row r="195" customFormat="false" ht="12.75" hidden="false" customHeight="false" outlineLevel="0" collapsed="false">
      <c r="AF195" s="63"/>
    </row>
    <row r="196" customFormat="false" ht="12.75" hidden="false" customHeight="false" outlineLevel="0" collapsed="false">
      <c r="AF196" s="63"/>
    </row>
    <row r="197" customFormat="false" ht="12.75" hidden="false" customHeight="false" outlineLevel="0" collapsed="false">
      <c r="AF197" s="63"/>
    </row>
    <row r="198" customFormat="false" ht="12.75" hidden="false" customHeight="false" outlineLevel="0" collapsed="false">
      <c r="AF198" s="63"/>
    </row>
    <row r="199" customFormat="false" ht="12.75" hidden="false" customHeight="false" outlineLevel="0" collapsed="false">
      <c r="AF199" s="63"/>
    </row>
    <row r="200" customFormat="false" ht="12.75" hidden="false" customHeight="false" outlineLevel="0" collapsed="false">
      <c r="AF200" s="63"/>
    </row>
    <row r="201" customFormat="false" ht="12.75" hidden="false" customHeight="false" outlineLevel="0" collapsed="false">
      <c r="AF201" s="63"/>
    </row>
    <row r="202" customFormat="false" ht="12.75" hidden="false" customHeight="false" outlineLevel="0" collapsed="false">
      <c r="AF202" s="63"/>
    </row>
    <row r="203" customFormat="false" ht="12.75" hidden="false" customHeight="false" outlineLevel="0" collapsed="false">
      <c r="AF203" s="63"/>
    </row>
    <row r="204" customFormat="false" ht="12.75" hidden="false" customHeight="false" outlineLevel="0" collapsed="false">
      <c r="AF204" s="63"/>
    </row>
    <row r="205" customFormat="false" ht="12.75" hidden="false" customHeight="false" outlineLevel="0" collapsed="false">
      <c r="AF205" s="63"/>
    </row>
    <row r="206" customFormat="false" ht="12.75" hidden="false" customHeight="false" outlineLevel="0" collapsed="false">
      <c r="AF206" s="63"/>
    </row>
    <row r="207" customFormat="false" ht="12.75" hidden="false" customHeight="false" outlineLevel="0" collapsed="false">
      <c r="AF207" s="63"/>
    </row>
    <row r="208" customFormat="false" ht="12.75" hidden="false" customHeight="false" outlineLevel="0" collapsed="false">
      <c r="AF208" s="63"/>
    </row>
    <row r="209" customFormat="false" ht="12.75" hidden="false" customHeight="false" outlineLevel="0" collapsed="false">
      <c r="AF209" s="63"/>
    </row>
    <row r="210" customFormat="false" ht="12.75" hidden="false" customHeight="false" outlineLevel="0" collapsed="false">
      <c r="AF210" s="63"/>
    </row>
    <row r="211" customFormat="false" ht="12.75" hidden="false" customHeight="false" outlineLevel="0" collapsed="false">
      <c r="AF211" s="63"/>
    </row>
    <row r="212" customFormat="false" ht="12.75" hidden="false" customHeight="false" outlineLevel="0" collapsed="false">
      <c r="AF212" s="63"/>
    </row>
    <row r="213" customFormat="false" ht="12.75" hidden="false" customHeight="false" outlineLevel="0" collapsed="false">
      <c r="AF213" s="63"/>
    </row>
    <row r="214" customFormat="false" ht="12.75" hidden="false" customHeight="false" outlineLevel="0" collapsed="false">
      <c r="AF214" s="63"/>
    </row>
    <row r="215" customFormat="false" ht="12.75" hidden="false" customHeight="false" outlineLevel="0" collapsed="false">
      <c r="AF215" s="63"/>
    </row>
    <row r="216" customFormat="false" ht="12.75" hidden="false" customHeight="false" outlineLevel="0" collapsed="false">
      <c r="AF216" s="63"/>
    </row>
    <row r="217" customFormat="false" ht="12.75" hidden="false" customHeight="false" outlineLevel="0" collapsed="false">
      <c r="AF217" s="63"/>
    </row>
    <row r="218" customFormat="false" ht="12.75" hidden="false" customHeight="false" outlineLevel="0" collapsed="false">
      <c r="AF218" s="63"/>
    </row>
    <row r="219" customFormat="false" ht="12.75" hidden="false" customHeight="false" outlineLevel="0" collapsed="false">
      <c r="AF219" s="63"/>
    </row>
    <row r="220" customFormat="false" ht="12.75" hidden="false" customHeight="false" outlineLevel="0" collapsed="false">
      <c r="AF220" s="63"/>
    </row>
    <row r="221" customFormat="false" ht="12.75" hidden="false" customHeight="false" outlineLevel="0" collapsed="false">
      <c r="AF221" s="63"/>
    </row>
    <row r="222" customFormat="false" ht="12.75" hidden="false" customHeight="false" outlineLevel="0" collapsed="false">
      <c r="AF222" s="63"/>
    </row>
    <row r="223" customFormat="false" ht="12.75" hidden="false" customHeight="false" outlineLevel="0" collapsed="false">
      <c r="AF223" s="63"/>
    </row>
    <row r="224" customFormat="false" ht="12.75" hidden="false" customHeight="false" outlineLevel="0" collapsed="false">
      <c r="AF224" s="63"/>
    </row>
    <row r="225" customFormat="false" ht="12.75" hidden="false" customHeight="false" outlineLevel="0" collapsed="false">
      <c r="AF225" s="63"/>
    </row>
    <row r="226" customFormat="false" ht="12.75" hidden="false" customHeight="false" outlineLevel="0" collapsed="false">
      <c r="AF226" s="63"/>
    </row>
    <row r="227" customFormat="false" ht="12.75" hidden="false" customHeight="false" outlineLevel="0" collapsed="false">
      <c r="AF227" s="63"/>
    </row>
    <row r="228" customFormat="false" ht="12.75" hidden="false" customHeight="false" outlineLevel="0" collapsed="false">
      <c r="AF228" s="63"/>
    </row>
    <row r="229" customFormat="false" ht="12.75" hidden="false" customHeight="false" outlineLevel="0" collapsed="false">
      <c r="AF229" s="63"/>
    </row>
    <row r="230" customFormat="false" ht="12.75" hidden="false" customHeight="false" outlineLevel="0" collapsed="false">
      <c r="AF230" s="63"/>
    </row>
    <row r="231" customFormat="false" ht="12.75" hidden="false" customHeight="false" outlineLevel="0" collapsed="false">
      <c r="AF231" s="63"/>
    </row>
    <row r="232" customFormat="false" ht="12.75" hidden="false" customHeight="false" outlineLevel="0" collapsed="false">
      <c r="AF232" s="63"/>
    </row>
    <row r="233" customFormat="false" ht="12.75" hidden="false" customHeight="false" outlineLevel="0" collapsed="false">
      <c r="AF233" s="63"/>
    </row>
    <row r="234" customFormat="false" ht="12.75" hidden="false" customHeight="false" outlineLevel="0" collapsed="false">
      <c r="AF234" s="63"/>
    </row>
    <row r="235" customFormat="false" ht="12.75" hidden="false" customHeight="false" outlineLevel="0" collapsed="false">
      <c r="AF235" s="63"/>
    </row>
    <row r="236" customFormat="false" ht="12.75" hidden="false" customHeight="false" outlineLevel="0" collapsed="false">
      <c r="AF236" s="63"/>
    </row>
    <row r="237" customFormat="false" ht="12.75" hidden="false" customHeight="false" outlineLevel="0" collapsed="false">
      <c r="AF237" s="63"/>
    </row>
    <row r="238" customFormat="false" ht="12.75" hidden="false" customHeight="false" outlineLevel="0" collapsed="false">
      <c r="AF238" s="63"/>
    </row>
    <row r="239" customFormat="false" ht="12.75" hidden="false" customHeight="false" outlineLevel="0" collapsed="false">
      <c r="AF239" s="63"/>
    </row>
    <row r="240" customFormat="false" ht="12.75" hidden="false" customHeight="false" outlineLevel="0" collapsed="false">
      <c r="AF240" s="63"/>
    </row>
    <row r="241" customFormat="false" ht="12.75" hidden="false" customHeight="false" outlineLevel="0" collapsed="false">
      <c r="AF241" s="63"/>
    </row>
    <row r="242" customFormat="false" ht="12.75" hidden="false" customHeight="false" outlineLevel="0" collapsed="false">
      <c r="AF242" s="63"/>
    </row>
    <row r="243" customFormat="false" ht="12.75" hidden="false" customHeight="false" outlineLevel="0" collapsed="false">
      <c r="AF243" s="63"/>
    </row>
    <row r="244" customFormat="false" ht="12.75" hidden="false" customHeight="false" outlineLevel="0" collapsed="false">
      <c r="AF244" s="63"/>
    </row>
    <row r="245" customFormat="false" ht="12.75" hidden="false" customHeight="false" outlineLevel="0" collapsed="false">
      <c r="AF245" s="63"/>
    </row>
    <row r="246" customFormat="false" ht="12.75" hidden="false" customHeight="false" outlineLevel="0" collapsed="false">
      <c r="AF246" s="63"/>
    </row>
    <row r="247" customFormat="false" ht="12.75" hidden="false" customHeight="false" outlineLevel="0" collapsed="false">
      <c r="AF247" s="63"/>
    </row>
    <row r="248" customFormat="false" ht="12.75" hidden="false" customHeight="false" outlineLevel="0" collapsed="false">
      <c r="AF248" s="63"/>
    </row>
    <row r="249" customFormat="false" ht="12.75" hidden="false" customHeight="false" outlineLevel="0" collapsed="false">
      <c r="AF249" s="63"/>
    </row>
    <row r="250" customFormat="false" ht="12.75" hidden="false" customHeight="false" outlineLevel="0" collapsed="false">
      <c r="AF250" s="63"/>
    </row>
    <row r="251" customFormat="false" ht="12.75" hidden="false" customHeight="false" outlineLevel="0" collapsed="false">
      <c r="AF251" s="63"/>
    </row>
    <row r="252" customFormat="false" ht="12.75" hidden="false" customHeight="false" outlineLevel="0" collapsed="false">
      <c r="AF252" s="63"/>
    </row>
    <row r="253" customFormat="false" ht="12.75" hidden="false" customHeight="false" outlineLevel="0" collapsed="false">
      <c r="AF253" s="63"/>
    </row>
    <row r="254" customFormat="false" ht="12.75" hidden="false" customHeight="false" outlineLevel="0" collapsed="false">
      <c r="AF254" s="63"/>
    </row>
    <row r="255" customFormat="false" ht="12.75" hidden="false" customHeight="false" outlineLevel="0" collapsed="false">
      <c r="AF255" s="63"/>
    </row>
    <row r="256" customFormat="false" ht="12.75" hidden="false" customHeight="false" outlineLevel="0" collapsed="false">
      <c r="AF256" s="63"/>
    </row>
    <row r="257" customFormat="false" ht="12.75" hidden="false" customHeight="false" outlineLevel="0" collapsed="false">
      <c r="AF257" s="63"/>
    </row>
    <row r="258" customFormat="false" ht="12.75" hidden="false" customHeight="false" outlineLevel="0" collapsed="false">
      <c r="AF258" s="63"/>
    </row>
    <row r="259" customFormat="false" ht="12.75" hidden="false" customHeight="false" outlineLevel="0" collapsed="false">
      <c r="AF259" s="63"/>
    </row>
    <row r="260" customFormat="false" ht="12.75" hidden="false" customHeight="false" outlineLevel="0" collapsed="false">
      <c r="AF260" s="63"/>
    </row>
    <row r="261" customFormat="false" ht="12.75" hidden="false" customHeight="false" outlineLevel="0" collapsed="false">
      <c r="AF261" s="63"/>
    </row>
    <row r="262" customFormat="false" ht="12.75" hidden="false" customHeight="false" outlineLevel="0" collapsed="false">
      <c r="AF262" s="63"/>
    </row>
    <row r="263" customFormat="false" ht="12.75" hidden="false" customHeight="false" outlineLevel="0" collapsed="false">
      <c r="AF263" s="63"/>
    </row>
    <row r="264" customFormat="false" ht="12.75" hidden="false" customHeight="false" outlineLevel="0" collapsed="false">
      <c r="AF264" s="63"/>
    </row>
    <row r="265" customFormat="false" ht="12.75" hidden="false" customHeight="false" outlineLevel="0" collapsed="false">
      <c r="AF265" s="63"/>
    </row>
    <row r="266" customFormat="false" ht="12.75" hidden="false" customHeight="false" outlineLevel="0" collapsed="false">
      <c r="AF266" s="63"/>
    </row>
    <row r="267" customFormat="false" ht="12.75" hidden="false" customHeight="false" outlineLevel="0" collapsed="false">
      <c r="AF267" s="63"/>
    </row>
    <row r="268" customFormat="false" ht="12.75" hidden="false" customHeight="false" outlineLevel="0" collapsed="false">
      <c r="AF268" s="63"/>
    </row>
    <row r="269" customFormat="false" ht="12.75" hidden="false" customHeight="false" outlineLevel="0" collapsed="false">
      <c r="AF269" s="63"/>
    </row>
    <row r="270" customFormat="false" ht="12.75" hidden="false" customHeight="false" outlineLevel="0" collapsed="false">
      <c r="AF270" s="63"/>
    </row>
    <row r="271" customFormat="false" ht="12.75" hidden="false" customHeight="false" outlineLevel="0" collapsed="false">
      <c r="AF271" s="63"/>
    </row>
    <row r="272" customFormat="false" ht="12.75" hidden="false" customHeight="false" outlineLevel="0" collapsed="false">
      <c r="AF272" s="63"/>
    </row>
    <row r="273" customFormat="false" ht="12.75" hidden="false" customHeight="false" outlineLevel="0" collapsed="false">
      <c r="AF273" s="63"/>
    </row>
    <row r="274" customFormat="false" ht="12.75" hidden="false" customHeight="false" outlineLevel="0" collapsed="false">
      <c r="AF274" s="63"/>
    </row>
    <row r="275" customFormat="false" ht="12.75" hidden="false" customHeight="false" outlineLevel="0" collapsed="false">
      <c r="AF275" s="63"/>
    </row>
    <row r="276" customFormat="false" ht="12.75" hidden="false" customHeight="false" outlineLevel="0" collapsed="false">
      <c r="AF276" s="63"/>
    </row>
    <row r="277" customFormat="false" ht="12.75" hidden="false" customHeight="false" outlineLevel="0" collapsed="false">
      <c r="AF277" s="63"/>
    </row>
    <row r="278" customFormat="false" ht="12.75" hidden="false" customHeight="false" outlineLevel="0" collapsed="false">
      <c r="AF278" s="63"/>
    </row>
    <row r="279" customFormat="false" ht="12.75" hidden="false" customHeight="false" outlineLevel="0" collapsed="false">
      <c r="AF279" s="63"/>
    </row>
    <row r="280" customFormat="false" ht="12.75" hidden="false" customHeight="false" outlineLevel="0" collapsed="false">
      <c r="AF280" s="63"/>
    </row>
    <row r="281" customFormat="false" ht="12.75" hidden="false" customHeight="false" outlineLevel="0" collapsed="false">
      <c r="AF281" s="63"/>
    </row>
    <row r="282" customFormat="false" ht="12.75" hidden="false" customHeight="false" outlineLevel="0" collapsed="false">
      <c r="AF282" s="63"/>
    </row>
    <row r="283" customFormat="false" ht="12.75" hidden="false" customHeight="false" outlineLevel="0" collapsed="false">
      <c r="AF283" s="63"/>
    </row>
    <row r="284" customFormat="false" ht="12.75" hidden="false" customHeight="false" outlineLevel="0" collapsed="false">
      <c r="AF284" s="63"/>
    </row>
    <row r="285" customFormat="false" ht="12.75" hidden="false" customHeight="false" outlineLevel="0" collapsed="false">
      <c r="AF285" s="63"/>
    </row>
    <row r="286" customFormat="false" ht="12.75" hidden="false" customHeight="false" outlineLevel="0" collapsed="false">
      <c r="AF286" s="63"/>
    </row>
    <row r="287" customFormat="false" ht="12.75" hidden="false" customHeight="false" outlineLevel="0" collapsed="false">
      <c r="AF287" s="63"/>
    </row>
    <row r="288" customFormat="false" ht="12.75" hidden="false" customHeight="false" outlineLevel="0" collapsed="false">
      <c r="AF288" s="63"/>
    </row>
    <row r="289" customFormat="false" ht="12.75" hidden="false" customHeight="false" outlineLevel="0" collapsed="false">
      <c r="AF289" s="63"/>
    </row>
    <row r="290" customFormat="false" ht="12.75" hidden="false" customHeight="false" outlineLevel="0" collapsed="false">
      <c r="AF290" s="63"/>
    </row>
    <row r="291" customFormat="false" ht="12.75" hidden="false" customHeight="false" outlineLevel="0" collapsed="false">
      <c r="AF291" s="63"/>
    </row>
    <row r="292" customFormat="false" ht="12.75" hidden="false" customHeight="false" outlineLevel="0" collapsed="false">
      <c r="AF292" s="63"/>
    </row>
    <row r="293" customFormat="false" ht="12.75" hidden="false" customHeight="false" outlineLevel="0" collapsed="false">
      <c r="AF293" s="63"/>
    </row>
    <row r="294" customFormat="false" ht="12.75" hidden="false" customHeight="false" outlineLevel="0" collapsed="false">
      <c r="AF294" s="63"/>
    </row>
    <row r="295" customFormat="false" ht="12.75" hidden="false" customHeight="false" outlineLevel="0" collapsed="false">
      <c r="AF295" s="63"/>
    </row>
    <row r="296" customFormat="false" ht="12.75" hidden="false" customHeight="false" outlineLevel="0" collapsed="false">
      <c r="AF296" s="63"/>
    </row>
    <row r="297" customFormat="false" ht="12.75" hidden="false" customHeight="false" outlineLevel="0" collapsed="false">
      <c r="AF297" s="63"/>
    </row>
    <row r="298" customFormat="false" ht="12.75" hidden="false" customHeight="false" outlineLevel="0" collapsed="false">
      <c r="AF298" s="63"/>
    </row>
    <row r="299" customFormat="false" ht="12.75" hidden="false" customHeight="false" outlineLevel="0" collapsed="false">
      <c r="AF299" s="63"/>
    </row>
    <row r="300" customFormat="false" ht="12.75" hidden="false" customHeight="false" outlineLevel="0" collapsed="false">
      <c r="AF300" s="63"/>
    </row>
    <row r="301" customFormat="false" ht="12.75" hidden="false" customHeight="false" outlineLevel="0" collapsed="false">
      <c r="AF301" s="63"/>
    </row>
    <row r="302" customFormat="false" ht="12.75" hidden="false" customHeight="false" outlineLevel="0" collapsed="false">
      <c r="AF302" s="63"/>
    </row>
    <row r="303" customFormat="false" ht="12.75" hidden="false" customHeight="false" outlineLevel="0" collapsed="false">
      <c r="AF303" s="63"/>
    </row>
    <row r="304" customFormat="false" ht="12.75" hidden="false" customHeight="false" outlineLevel="0" collapsed="false">
      <c r="AF304" s="63"/>
    </row>
    <row r="305" customFormat="false" ht="12.75" hidden="false" customHeight="false" outlineLevel="0" collapsed="false">
      <c r="AF305" s="63"/>
    </row>
    <row r="306" customFormat="false" ht="12.75" hidden="false" customHeight="false" outlineLevel="0" collapsed="false">
      <c r="AF306" s="63"/>
    </row>
    <row r="307" customFormat="false" ht="12.75" hidden="false" customHeight="false" outlineLevel="0" collapsed="false">
      <c r="AF307" s="63"/>
    </row>
    <row r="308" customFormat="false" ht="12.75" hidden="false" customHeight="false" outlineLevel="0" collapsed="false">
      <c r="AF308" s="63"/>
    </row>
    <row r="309" customFormat="false" ht="12.75" hidden="false" customHeight="false" outlineLevel="0" collapsed="false">
      <c r="AF309" s="63"/>
    </row>
    <row r="310" customFormat="false" ht="12.75" hidden="false" customHeight="false" outlineLevel="0" collapsed="false">
      <c r="AF310" s="63"/>
    </row>
    <row r="311" customFormat="false" ht="12.75" hidden="false" customHeight="false" outlineLevel="0" collapsed="false">
      <c r="AF311" s="63"/>
    </row>
    <row r="312" customFormat="false" ht="12.75" hidden="false" customHeight="false" outlineLevel="0" collapsed="false">
      <c r="AF312" s="63"/>
    </row>
    <row r="313" customFormat="false" ht="12.75" hidden="false" customHeight="false" outlineLevel="0" collapsed="false">
      <c r="AF313" s="63"/>
    </row>
    <row r="314" customFormat="false" ht="12.75" hidden="false" customHeight="false" outlineLevel="0" collapsed="false">
      <c r="AF314" s="63"/>
    </row>
    <row r="315" customFormat="false" ht="12.75" hidden="false" customHeight="false" outlineLevel="0" collapsed="false">
      <c r="AF315" s="63"/>
    </row>
    <row r="316" customFormat="false" ht="12.75" hidden="false" customHeight="false" outlineLevel="0" collapsed="false">
      <c r="AF316" s="63"/>
    </row>
    <row r="317" customFormat="false" ht="12.75" hidden="false" customHeight="false" outlineLevel="0" collapsed="false">
      <c r="AF317" s="63"/>
    </row>
    <row r="318" customFormat="false" ht="12.75" hidden="false" customHeight="false" outlineLevel="0" collapsed="false">
      <c r="AF318" s="63"/>
    </row>
    <row r="319" customFormat="false" ht="12.75" hidden="false" customHeight="false" outlineLevel="0" collapsed="false">
      <c r="AF319" s="63"/>
    </row>
    <row r="320" customFormat="false" ht="12.75" hidden="false" customHeight="false" outlineLevel="0" collapsed="false">
      <c r="AF320" s="63"/>
    </row>
    <row r="321" customFormat="false" ht="12.75" hidden="false" customHeight="false" outlineLevel="0" collapsed="false">
      <c r="AF321" s="63"/>
    </row>
    <row r="322" customFormat="false" ht="12.75" hidden="false" customHeight="false" outlineLevel="0" collapsed="false">
      <c r="AF322" s="63"/>
    </row>
    <row r="323" customFormat="false" ht="12.75" hidden="false" customHeight="false" outlineLevel="0" collapsed="false">
      <c r="AF323" s="63"/>
    </row>
    <row r="324" customFormat="false" ht="12.75" hidden="false" customHeight="false" outlineLevel="0" collapsed="false">
      <c r="AF324" s="63"/>
    </row>
    <row r="325" customFormat="false" ht="12.75" hidden="false" customHeight="false" outlineLevel="0" collapsed="false">
      <c r="AF325" s="63"/>
    </row>
    <row r="326" customFormat="false" ht="12.75" hidden="false" customHeight="false" outlineLevel="0" collapsed="false">
      <c r="AF326" s="63"/>
    </row>
    <row r="327" customFormat="false" ht="12.75" hidden="false" customHeight="false" outlineLevel="0" collapsed="false">
      <c r="AF327" s="63"/>
    </row>
    <row r="328" customFormat="false" ht="12.75" hidden="false" customHeight="false" outlineLevel="0" collapsed="false">
      <c r="AF328" s="63"/>
    </row>
    <row r="329" customFormat="false" ht="12.75" hidden="false" customHeight="false" outlineLevel="0" collapsed="false">
      <c r="AF329" s="63"/>
    </row>
    <row r="330" customFormat="false" ht="12.75" hidden="false" customHeight="false" outlineLevel="0" collapsed="false">
      <c r="AF330" s="63"/>
    </row>
    <row r="331" customFormat="false" ht="12.75" hidden="false" customHeight="false" outlineLevel="0" collapsed="false">
      <c r="AF331" s="63"/>
    </row>
    <row r="332" customFormat="false" ht="12.75" hidden="false" customHeight="false" outlineLevel="0" collapsed="false">
      <c r="AF332" s="63"/>
    </row>
    <row r="333" customFormat="false" ht="12.75" hidden="false" customHeight="false" outlineLevel="0" collapsed="false">
      <c r="AF333" s="63"/>
    </row>
    <row r="334" customFormat="false" ht="12.75" hidden="false" customHeight="false" outlineLevel="0" collapsed="false">
      <c r="AF334" s="63"/>
    </row>
    <row r="335" customFormat="false" ht="12.75" hidden="false" customHeight="false" outlineLevel="0" collapsed="false">
      <c r="AF335" s="63"/>
    </row>
    <row r="336" customFormat="false" ht="12.75" hidden="false" customHeight="false" outlineLevel="0" collapsed="false">
      <c r="AF336" s="63"/>
    </row>
    <row r="337" customFormat="false" ht="12.75" hidden="false" customHeight="false" outlineLevel="0" collapsed="false">
      <c r="AF337" s="63"/>
    </row>
    <row r="338" customFormat="false" ht="12.75" hidden="false" customHeight="false" outlineLevel="0" collapsed="false">
      <c r="AF338" s="63"/>
    </row>
    <row r="339" customFormat="false" ht="12.75" hidden="false" customHeight="false" outlineLevel="0" collapsed="false">
      <c r="AF339" s="63"/>
    </row>
    <row r="340" customFormat="false" ht="12.75" hidden="false" customHeight="false" outlineLevel="0" collapsed="false">
      <c r="AF340" s="63"/>
    </row>
    <row r="341" customFormat="false" ht="12.75" hidden="false" customHeight="false" outlineLevel="0" collapsed="false">
      <c r="AF341" s="63"/>
    </row>
    <row r="342" customFormat="false" ht="12.75" hidden="false" customHeight="false" outlineLevel="0" collapsed="false">
      <c r="AF342" s="63"/>
    </row>
    <row r="343" customFormat="false" ht="12.75" hidden="false" customHeight="false" outlineLevel="0" collapsed="false">
      <c r="AF343" s="63"/>
    </row>
    <row r="344" customFormat="false" ht="12.75" hidden="false" customHeight="false" outlineLevel="0" collapsed="false">
      <c r="AF344" s="63"/>
    </row>
    <row r="345" customFormat="false" ht="12.75" hidden="false" customHeight="false" outlineLevel="0" collapsed="false">
      <c r="AF345" s="63"/>
    </row>
    <row r="346" customFormat="false" ht="12.75" hidden="false" customHeight="false" outlineLevel="0" collapsed="false">
      <c r="AF346" s="63"/>
    </row>
    <row r="347" customFormat="false" ht="12.75" hidden="false" customHeight="false" outlineLevel="0" collapsed="false">
      <c r="AF347" s="63"/>
    </row>
    <row r="348" customFormat="false" ht="12.75" hidden="false" customHeight="false" outlineLevel="0" collapsed="false">
      <c r="AF348" s="63"/>
    </row>
    <row r="349" customFormat="false" ht="12.75" hidden="false" customHeight="false" outlineLevel="0" collapsed="false">
      <c r="AF349" s="63"/>
    </row>
    <row r="350" customFormat="false" ht="12.75" hidden="false" customHeight="false" outlineLevel="0" collapsed="false">
      <c r="AF350" s="63"/>
    </row>
    <row r="351" customFormat="false" ht="12.75" hidden="false" customHeight="false" outlineLevel="0" collapsed="false">
      <c r="AF351" s="63"/>
    </row>
    <row r="352" customFormat="false" ht="12.75" hidden="false" customHeight="false" outlineLevel="0" collapsed="false">
      <c r="AF352" s="63"/>
    </row>
    <row r="353" customFormat="false" ht="12.75" hidden="false" customHeight="false" outlineLevel="0" collapsed="false">
      <c r="AF353" s="63"/>
    </row>
    <row r="354" customFormat="false" ht="12.75" hidden="false" customHeight="false" outlineLevel="0" collapsed="false">
      <c r="AF354" s="63"/>
    </row>
    <row r="355" customFormat="false" ht="12.75" hidden="false" customHeight="false" outlineLevel="0" collapsed="false">
      <c r="AF355" s="63"/>
    </row>
    <row r="356" customFormat="false" ht="12.75" hidden="false" customHeight="false" outlineLevel="0" collapsed="false">
      <c r="AF356" s="63"/>
    </row>
    <row r="357" customFormat="false" ht="12.75" hidden="false" customHeight="false" outlineLevel="0" collapsed="false">
      <c r="AF357" s="63"/>
    </row>
    <row r="358" customFormat="false" ht="12.75" hidden="false" customHeight="false" outlineLevel="0" collapsed="false">
      <c r="AF358" s="63"/>
    </row>
    <row r="359" customFormat="false" ht="12.75" hidden="false" customHeight="false" outlineLevel="0" collapsed="false">
      <c r="AF359" s="63"/>
    </row>
    <row r="360" customFormat="false" ht="12.75" hidden="false" customHeight="false" outlineLevel="0" collapsed="false">
      <c r="AF360" s="63"/>
    </row>
    <row r="361" customFormat="false" ht="12.75" hidden="false" customHeight="false" outlineLevel="0" collapsed="false">
      <c r="AF361" s="63"/>
    </row>
    <row r="362" customFormat="false" ht="12.75" hidden="false" customHeight="false" outlineLevel="0" collapsed="false">
      <c r="AF362" s="63"/>
    </row>
    <row r="363" customFormat="false" ht="12.75" hidden="false" customHeight="false" outlineLevel="0" collapsed="false">
      <c r="AF363" s="63"/>
    </row>
    <row r="364" customFormat="false" ht="12.75" hidden="false" customHeight="false" outlineLevel="0" collapsed="false">
      <c r="AF364" s="63"/>
    </row>
    <row r="365" customFormat="false" ht="12.75" hidden="false" customHeight="false" outlineLevel="0" collapsed="false">
      <c r="AF365" s="63"/>
    </row>
    <row r="366" customFormat="false" ht="12.75" hidden="false" customHeight="false" outlineLevel="0" collapsed="false">
      <c r="AF366" s="63"/>
    </row>
    <row r="367" customFormat="false" ht="12.75" hidden="false" customHeight="false" outlineLevel="0" collapsed="false">
      <c r="AF367" s="63"/>
    </row>
    <row r="368" customFormat="false" ht="12.75" hidden="false" customHeight="false" outlineLevel="0" collapsed="false">
      <c r="AF368" s="63"/>
    </row>
    <row r="369" customFormat="false" ht="12.75" hidden="false" customHeight="false" outlineLevel="0" collapsed="false">
      <c r="AF369" s="63"/>
    </row>
    <row r="370" customFormat="false" ht="12.75" hidden="false" customHeight="false" outlineLevel="0" collapsed="false">
      <c r="AF370" s="63"/>
    </row>
    <row r="371" customFormat="false" ht="12.75" hidden="false" customHeight="false" outlineLevel="0" collapsed="false">
      <c r="AF371" s="63"/>
    </row>
    <row r="372" customFormat="false" ht="12.75" hidden="false" customHeight="false" outlineLevel="0" collapsed="false">
      <c r="AF372" s="63"/>
    </row>
    <row r="373" customFormat="false" ht="12.75" hidden="false" customHeight="false" outlineLevel="0" collapsed="false">
      <c r="AF373" s="63"/>
    </row>
    <row r="374" customFormat="false" ht="12.75" hidden="false" customHeight="false" outlineLevel="0" collapsed="false">
      <c r="AF374" s="63"/>
    </row>
    <row r="375" customFormat="false" ht="12.75" hidden="false" customHeight="false" outlineLevel="0" collapsed="false">
      <c r="AF375" s="63"/>
    </row>
    <row r="376" customFormat="false" ht="12.75" hidden="false" customHeight="false" outlineLevel="0" collapsed="false">
      <c r="AF376" s="63"/>
    </row>
    <row r="377" customFormat="false" ht="12.75" hidden="false" customHeight="false" outlineLevel="0" collapsed="false">
      <c r="AF377" s="63"/>
    </row>
    <row r="378" customFormat="false" ht="12.75" hidden="false" customHeight="false" outlineLevel="0" collapsed="false">
      <c r="AF378" s="63"/>
    </row>
    <row r="379" customFormat="false" ht="12.75" hidden="false" customHeight="false" outlineLevel="0" collapsed="false">
      <c r="AF379" s="63"/>
    </row>
    <row r="380" customFormat="false" ht="12.75" hidden="false" customHeight="false" outlineLevel="0" collapsed="false">
      <c r="AF380" s="63"/>
    </row>
    <row r="381" customFormat="false" ht="12.75" hidden="false" customHeight="false" outlineLevel="0" collapsed="false">
      <c r="AF381" s="63"/>
    </row>
    <row r="382" customFormat="false" ht="12.75" hidden="false" customHeight="false" outlineLevel="0" collapsed="false">
      <c r="AF382" s="63"/>
    </row>
    <row r="383" customFormat="false" ht="12.75" hidden="false" customHeight="false" outlineLevel="0" collapsed="false">
      <c r="AF383" s="63"/>
    </row>
    <row r="384" customFormat="false" ht="12.75" hidden="false" customHeight="false" outlineLevel="0" collapsed="false">
      <c r="AF384" s="63"/>
    </row>
    <row r="385" customFormat="false" ht="12.75" hidden="false" customHeight="false" outlineLevel="0" collapsed="false">
      <c r="AF385" s="63"/>
    </row>
    <row r="386" customFormat="false" ht="12.75" hidden="false" customHeight="false" outlineLevel="0" collapsed="false">
      <c r="AF386" s="63"/>
    </row>
    <row r="387" customFormat="false" ht="12.75" hidden="false" customHeight="false" outlineLevel="0" collapsed="false">
      <c r="AF387" s="63"/>
    </row>
    <row r="388" customFormat="false" ht="12.75" hidden="false" customHeight="false" outlineLevel="0" collapsed="false">
      <c r="AF388" s="63"/>
    </row>
    <row r="389" customFormat="false" ht="12.75" hidden="false" customHeight="false" outlineLevel="0" collapsed="false">
      <c r="AF389" s="63"/>
    </row>
    <row r="390" customFormat="false" ht="12.75" hidden="false" customHeight="false" outlineLevel="0" collapsed="false">
      <c r="AF390" s="63"/>
    </row>
    <row r="391" customFormat="false" ht="12.75" hidden="false" customHeight="false" outlineLevel="0" collapsed="false">
      <c r="AF391" s="63"/>
    </row>
    <row r="392" customFormat="false" ht="12.75" hidden="false" customHeight="false" outlineLevel="0" collapsed="false">
      <c r="AF392" s="63"/>
    </row>
    <row r="393" customFormat="false" ht="12.75" hidden="false" customHeight="false" outlineLevel="0" collapsed="false">
      <c r="AF393" s="63"/>
    </row>
    <row r="394" customFormat="false" ht="12.75" hidden="false" customHeight="false" outlineLevel="0" collapsed="false">
      <c r="AF394" s="63"/>
    </row>
    <row r="395" customFormat="false" ht="12.75" hidden="false" customHeight="false" outlineLevel="0" collapsed="false">
      <c r="AF395" s="63"/>
    </row>
    <row r="396" customFormat="false" ht="12.75" hidden="false" customHeight="false" outlineLevel="0" collapsed="false">
      <c r="AF396" s="63"/>
    </row>
    <row r="397" customFormat="false" ht="12.75" hidden="false" customHeight="false" outlineLevel="0" collapsed="false">
      <c r="AF397" s="63"/>
    </row>
    <row r="398" customFormat="false" ht="12.75" hidden="false" customHeight="false" outlineLevel="0" collapsed="false">
      <c r="AF398" s="63"/>
    </row>
    <row r="399" customFormat="false" ht="12.75" hidden="false" customHeight="false" outlineLevel="0" collapsed="false">
      <c r="AF399" s="63"/>
    </row>
    <row r="400" customFormat="false" ht="12.75" hidden="false" customHeight="false" outlineLevel="0" collapsed="false">
      <c r="AF400" s="63"/>
    </row>
    <row r="401" customFormat="false" ht="12.75" hidden="false" customHeight="false" outlineLevel="0" collapsed="false">
      <c r="AF401" s="63"/>
    </row>
    <row r="402" customFormat="false" ht="12.75" hidden="false" customHeight="false" outlineLevel="0" collapsed="false">
      <c r="AF402" s="63"/>
    </row>
    <row r="403" customFormat="false" ht="12.75" hidden="false" customHeight="false" outlineLevel="0" collapsed="false">
      <c r="AF403" s="63"/>
    </row>
    <row r="404" customFormat="false" ht="12.75" hidden="false" customHeight="false" outlineLevel="0" collapsed="false">
      <c r="AF404" s="63"/>
    </row>
    <row r="405" customFormat="false" ht="12.75" hidden="false" customHeight="false" outlineLevel="0" collapsed="false">
      <c r="AF405" s="63"/>
    </row>
    <row r="406" customFormat="false" ht="12.75" hidden="false" customHeight="false" outlineLevel="0" collapsed="false">
      <c r="AF406" s="63"/>
    </row>
    <row r="407" customFormat="false" ht="12.75" hidden="false" customHeight="false" outlineLevel="0" collapsed="false">
      <c r="AF407" s="63"/>
    </row>
    <row r="408" customFormat="false" ht="12.75" hidden="false" customHeight="false" outlineLevel="0" collapsed="false">
      <c r="AF408" s="63"/>
    </row>
    <row r="409" customFormat="false" ht="12.75" hidden="false" customHeight="false" outlineLevel="0" collapsed="false">
      <c r="AF409" s="63"/>
    </row>
    <row r="410" customFormat="false" ht="12.75" hidden="false" customHeight="false" outlineLevel="0" collapsed="false">
      <c r="AF410" s="63"/>
    </row>
    <row r="411" customFormat="false" ht="12.75" hidden="false" customHeight="false" outlineLevel="0" collapsed="false">
      <c r="AF411" s="63"/>
    </row>
    <row r="412" customFormat="false" ht="12.75" hidden="false" customHeight="false" outlineLevel="0" collapsed="false">
      <c r="AF412" s="63"/>
    </row>
    <row r="413" customFormat="false" ht="12.75" hidden="false" customHeight="false" outlineLevel="0" collapsed="false">
      <c r="AF413" s="63"/>
    </row>
    <row r="414" customFormat="false" ht="12.75" hidden="false" customHeight="false" outlineLevel="0" collapsed="false">
      <c r="AF414" s="63"/>
    </row>
    <row r="415" customFormat="false" ht="12.75" hidden="false" customHeight="false" outlineLevel="0" collapsed="false">
      <c r="AF415" s="63"/>
    </row>
    <row r="416" customFormat="false" ht="12.75" hidden="false" customHeight="false" outlineLevel="0" collapsed="false">
      <c r="AF416" s="63"/>
    </row>
    <row r="417" customFormat="false" ht="12.75" hidden="false" customHeight="false" outlineLevel="0" collapsed="false">
      <c r="AF417" s="63"/>
    </row>
    <row r="418" customFormat="false" ht="12.75" hidden="false" customHeight="false" outlineLevel="0" collapsed="false">
      <c r="AF418" s="63"/>
    </row>
    <row r="419" customFormat="false" ht="12.75" hidden="false" customHeight="false" outlineLevel="0" collapsed="false">
      <c r="AF419" s="63"/>
    </row>
    <row r="420" customFormat="false" ht="12.75" hidden="false" customHeight="false" outlineLevel="0" collapsed="false">
      <c r="AF420" s="63"/>
    </row>
    <row r="421" customFormat="false" ht="12.75" hidden="false" customHeight="false" outlineLevel="0" collapsed="false">
      <c r="AF421" s="63"/>
    </row>
    <row r="422" customFormat="false" ht="12.75" hidden="false" customHeight="false" outlineLevel="0" collapsed="false">
      <c r="AF422" s="63"/>
    </row>
    <row r="423" customFormat="false" ht="12.75" hidden="false" customHeight="false" outlineLevel="0" collapsed="false">
      <c r="AF423" s="63"/>
    </row>
    <row r="424" customFormat="false" ht="12.75" hidden="false" customHeight="false" outlineLevel="0" collapsed="false">
      <c r="AF424" s="63"/>
    </row>
    <row r="425" customFormat="false" ht="12.75" hidden="false" customHeight="false" outlineLevel="0" collapsed="false">
      <c r="AF425" s="63"/>
    </row>
    <row r="426" customFormat="false" ht="12.75" hidden="false" customHeight="false" outlineLevel="0" collapsed="false">
      <c r="AF426" s="63"/>
    </row>
    <row r="427" customFormat="false" ht="12.75" hidden="false" customHeight="false" outlineLevel="0" collapsed="false">
      <c r="AF427" s="63"/>
    </row>
    <row r="428" customFormat="false" ht="12.75" hidden="false" customHeight="false" outlineLevel="0" collapsed="false">
      <c r="AF428" s="63"/>
    </row>
    <row r="429" customFormat="false" ht="12.75" hidden="false" customHeight="false" outlineLevel="0" collapsed="false">
      <c r="AF429" s="63"/>
    </row>
    <row r="430" customFormat="false" ht="12.75" hidden="false" customHeight="false" outlineLevel="0" collapsed="false">
      <c r="AF430" s="63"/>
    </row>
    <row r="431" customFormat="false" ht="12.75" hidden="false" customHeight="false" outlineLevel="0" collapsed="false">
      <c r="AF431" s="63"/>
    </row>
    <row r="432" customFormat="false" ht="12.75" hidden="false" customHeight="false" outlineLevel="0" collapsed="false">
      <c r="AF432" s="63"/>
    </row>
    <row r="433" customFormat="false" ht="12.75" hidden="false" customHeight="false" outlineLevel="0" collapsed="false">
      <c r="AF433" s="63"/>
    </row>
    <row r="434" customFormat="false" ht="12.75" hidden="false" customHeight="false" outlineLevel="0" collapsed="false">
      <c r="AF434" s="63"/>
    </row>
    <row r="435" customFormat="false" ht="12.75" hidden="false" customHeight="false" outlineLevel="0" collapsed="false">
      <c r="AF435" s="63"/>
    </row>
    <row r="436" customFormat="false" ht="12.75" hidden="false" customHeight="false" outlineLevel="0" collapsed="false">
      <c r="AF436" s="63"/>
    </row>
    <row r="437" customFormat="false" ht="12.75" hidden="false" customHeight="false" outlineLevel="0" collapsed="false">
      <c r="AF437" s="63"/>
    </row>
    <row r="438" customFormat="false" ht="12.75" hidden="false" customHeight="false" outlineLevel="0" collapsed="false">
      <c r="AF438" s="63"/>
    </row>
    <row r="439" customFormat="false" ht="12.75" hidden="false" customHeight="false" outlineLevel="0" collapsed="false">
      <c r="AF439" s="63"/>
    </row>
    <row r="440" customFormat="false" ht="12.75" hidden="false" customHeight="false" outlineLevel="0" collapsed="false">
      <c r="AF440" s="63"/>
    </row>
    <row r="441" customFormat="false" ht="12.75" hidden="false" customHeight="false" outlineLevel="0" collapsed="false">
      <c r="AF441" s="63"/>
    </row>
    <row r="442" customFormat="false" ht="12.75" hidden="false" customHeight="false" outlineLevel="0" collapsed="false">
      <c r="AF442" s="63"/>
    </row>
    <row r="443" customFormat="false" ht="12.75" hidden="false" customHeight="false" outlineLevel="0" collapsed="false">
      <c r="AF443" s="63"/>
    </row>
    <row r="444" customFormat="false" ht="12.75" hidden="false" customHeight="false" outlineLevel="0" collapsed="false">
      <c r="AF444" s="63"/>
    </row>
    <row r="445" customFormat="false" ht="12.75" hidden="false" customHeight="false" outlineLevel="0" collapsed="false">
      <c r="AF445" s="63"/>
    </row>
    <row r="446" customFormat="false" ht="12.75" hidden="false" customHeight="false" outlineLevel="0" collapsed="false">
      <c r="AF446" s="63"/>
    </row>
    <row r="447" customFormat="false" ht="12.75" hidden="false" customHeight="false" outlineLevel="0" collapsed="false">
      <c r="AF447" s="63"/>
    </row>
    <row r="448" customFormat="false" ht="12.75" hidden="false" customHeight="false" outlineLevel="0" collapsed="false">
      <c r="AF448" s="63"/>
    </row>
    <row r="449" customFormat="false" ht="12.75" hidden="false" customHeight="false" outlineLevel="0" collapsed="false">
      <c r="AF449" s="63"/>
    </row>
    <row r="450" customFormat="false" ht="12.75" hidden="false" customHeight="false" outlineLevel="0" collapsed="false">
      <c r="AF450" s="63"/>
    </row>
    <row r="451" customFormat="false" ht="12.75" hidden="false" customHeight="false" outlineLevel="0" collapsed="false">
      <c r="AF451" s="63"/>
    </row>
    <row r="452" customFormat="false" ht="12.75" hidden="false" customHeight="false" outlineLevel="0" collapsed="false">
      <c r="AF452" s="63"/>
    </row>
    <row r="453" customFormat="false" ht="12.75" hidden="false" customHeight="false" outlineLevel="0" collapsed="false">
      <c r="AF453" s="63"/>
    </row>
    <row r="454" customFormat="false" ht="12.75" hidden="false" customHeight="false" outlineLevel="0" collapsed="false">
      <c r="AF454" s="63"/>
    </row>
    <row r="455" customFormat="false" ht="12.75" hidden="false" customHeight="false" outlineLevel="0" collapsed="false">
      <c r="AF455" s="63"/>
    </row>
    <row r="456" customFormat="false" ht="12.75" hidden="false" customHeight="false" outlineLevel="0" collapsed="false">
      <c r="AF456" s="63"/>
    </row>
    <row r="457" customFormat="false" ht="12.75" hidden="false" customHeight="false" outlineLevel="0" collapsed="false">
      <c r="AF457" s="63"/>
    </row>
    <row r="458" customFormat="false" ht="12.75" hidden="false" customHeight="false" outlineLevel="0" collapsed="false">
      <c r="AF458" s="63"/>
    </row>
    <row r="459" customFormat="false" ht="12.75" hidden="false" customHeight="false" outlineLevel="0" collapsed="false">
      <c r="AF459" s="63"/>
    </row>
    <row r="460" customFormat="false" ht="12.75" hidden="false" customHeight="false" outlineLevel="0" collapsed="false">
      <c r="AF460" s="63"/>
    </row>
    <row r="461" customFormat="false" ht="12.75" hidden="false" customHeight="false" outlineLevel="0" collapsed="false">
      <c r="AF461" s="63"/>
    </row>
    <row r="462" customFormat="false" ht="12.75" hidden="false" customHeight="false" outlineLevel="0" collapsed="false">
      <c r="AF462" s="63"/>
    </row>
    <row r="463" customFormat="false" ht="12.75" hidden="false" customHeight="false" outlineLevel="0" collapsed="false">
      <c r="AF463" s="63"/>
    </row>
    <row r="464" customFormat="false" ht="12.75" hidden="false" customHeight="false" outlineLevel="0" collapsed="false">
      <c r="AF464" s="63"/>
    </row>
    <row r="465" customFormat="false" ht="12.75" hidden="false" customHeight="false" outlineLevel="0" collapsed="false">
      <c r="AF465" s="63"/>
    </row>
    <row r="466" customFormat="false" ht="12.75" hidden="false" customHeight="false" outlineLevel="0" collapsed="false">
      <c r="AF466" s="63"/>
    </row>
    <row r="467" customFormat="false" ht="12.75" hidden="false" customHeight="false" outlineLevel="0" collapsed="false">
      <c r="AF467" s="63"/>
    </row>
    <row r="468" customFormat="false" ht="12.75" hidden="false" customHeight="false" outlineLevel="0" collapsed="false">
      <c r="AF468" s="63"/>
    </row>
    <row r="469" customFormat="false" ht="12.75" hidden="false" customHeight="false" outlineLevel="0" collapsed="false">
      <c r="AF469" s="63"/>
    </row>
    <row r="470" customFormat="false" ht="12.75" hidden="false" customHeight="false" outlineLevel="0" collapsed="false">
      <c r="AF470" s="63"/>
    </row>
    <row r="471" customFormat="false" ht="12.75" hidden="false" customHeight="false" outlineLevel="0" collapsed="false">
      <c r="AF471" s="63"/>
    </row>
    <row r="472" customFormat="false" ht="12.75" hidden="false" customHeight="false" outlineLevel="0" collapsed="false">
      <c r="AF472" s="63"/>
    </row>
    <row r="473" customFormat="false" ht="12.75" hidden="false" customHeight="false" outlineLevel="0" collapsed="false">
      <c r="AF473" s="63"/>
    </row>
    <row r="474" customFormat="false" ht="12.75" hidden="false" customHeight="false" outlineLevel="0" collapsed="false">
      <c r="AF474" s="63"/>
    </row>
    <row r="475" customFormat="false" ht="12.75" hidden="false" customHeight="false" outlineLevel="0" collapsed="false">
      <c r="AF475" s="63"/>
    </row>
    <row r="476" customFormat="false" ht="12.75" hidden="false" customHeight="false" outlineLevel="0" collapsed="false">
      <c r="AF476" s="63"/>
    </row>
    <row r="477" customFormat="false" ht="12.75" hidden="false" customHeight="false" outlineLevel="0" collapsed="false">
      <c r="AF477" s="63"/>
    </row>
    <row r="478" customFormat="false" ht="12.75" hidden="false" customHeight="false" outlineLevel="0" collapsed="false">
      <c r="AF478" s="63"/>
    </row>
    <row r="479" customFormat="false" ht="12.75" hidden="false" customHeight="false" outlineLevel="0" collapsed="false">
      <c r="AF479" s="63"/>
    </row>
    <row r="480" customFormat="false" ht="12.75" hidden="false" customHeight="false" outlineLevel="0" collapsed="false">
      <c r="AF480" s="63"/>
    </row>
    <row r="481" customFormat="false" ht="12.75" hidden="false" customHeight="false" outlineLevel="0" collapsed="false">
      <c r="AF481" s="63"/>
    </row>
    <row r="482" customFormat="false" ht="12.75" hidden="false" customHeight="false" outlineLevel="0" collapsed="false">
      <c r="AF482" s="63"/>
    </row>
    <row r="483" customFormat="false" ht="12.75" hidden="false" customHeight="false" outlineLevel="0" collapsed="false">
      <c r="AF483" s="63"/>
    </row>
    <row r="484" customFormat="false" ht="12.75" hidden="false" customHeight="false" outlineLevel="0" collapsed="false">
      <c r="AF484" s="63"/>
    </row>
    <row r="485" customFormat="false" ht="12.75" hidden="false" customHeight="false" outlineLevel="0" collapsed="false">
      <c r="AF485" s="63"/>
    </row>
    <row r="486" customFormat="false" ht="12.75" hidden="false" customHeight="false" outlineLevel="0" collapsed="false">
      <c r="AF486" s="63"/>
    </row>
    <row r="487" customFormat="false" ht="12.75" hidden="false" customHeight="false" outlineLevel="0" collapsed="false">
      <c r="AF487" s="63"/>
    </row>
    <row r="488" customFormat="false" ht="12.75" hidden="false" customHeight="false" outlineLevel="0" collapsed="false">
      <c r="AF488" s="63"/>
    </row>
    <row r="489" customFormat="false" ht="12.75" hidden="false" customHeight="false" outlineLevel="0" collapsed="false">
      <c r="AF489" s="63"/>
    </row>
    <row r="490" customFormat="false" ht="12.75" hidden="false" customHeight="false" outlineLevel="0" collapsed="false">
      <c r="AF490" s="63"/>
    </row>
    <row r="491" customFormat="false" ht="12.75" hidden="false" customHeight="false" outlineLevel="0" collapsed="false">
      <c r="AF491" s="63"/>
    </row>
    <row r="492" customFormat="false" ht="12.75" hidden="false" customHeight="false" outlineLevel="0" collapsed="false">
      <c r="AF492" s="63"/>
    </row>
    <row r="493" customFormat="false" ht="12.75" hidden="false" customHeight="false" outlineLevel="0" collapsed="false">
      <c r="AF493" s="63"/>
    </row>
    <row r="494" customFormat="false" ht="12.75" hidden="false" customHeight="false" outlineLevel="0" collapsed="false">
      <c r="AF494" s="63"/>
    </row>
    <row r="495" customFormat="false" ht="12.75" hidden="false" customHeight="false" outlineLevel="0" collapsed="false">
      <c r="AF495" s="63"/>
    </row>
    <row r="496" customFormat="false" ht="12.75" hidden="false" customHeight="false" outlineLevel="0" collapsed="false">
      <c r="AF496" s="63"/>
    </row>
    <row r="497" customFormat="false" ht="12.75" hidden="false" customHeight="false" outlineLevel="0" collapsed="false">
      <c r="AF497" s="63"/>
    </row>
    <row r="498" customFormat="false" ht="12.75" hidden="false" customHeight="false" outlineLevel="0" collapsed="false">
      <c r="AF498" s="63"/>
    </row>
    <row r="499" customFormat="false" ht="12.75" hidden="false" customHeight="false" outlineLevel="0" collapsed="false">
      <c r="AF499" s="63"/>
    </row>
    <row r="500" customFormat="false" ht="12.75" hidden="false" customHeight="false" outlineLevel="0" collapsed="false">
      <c r="AF500" s="63"/>
    </row>
    <row r="501" customFormat="false" ht="12.75" hidden="false" customHeight="false" outlineLevel="0" collapsed="false">
      <c r="AF501" s="63"/>
    </row>
    <row r="502" customFormat="false" ht="12.75" hidden="false" customHeight="false" outlineLevel="0" collapsed="false">
      <c r="AF502" s="63"/>
    </row>
    <row r="503" customFormat="false" ht="12.75" hidden="false" customHeight="false" outlineLevel="0" collapsed="false">
      <c r="AF503" s="63"/>
    </row>
    <row r="504" customFormat="false" ht="12.75" hidden="false" customHeight="false" outlineLevel="0" collapsed="false">
      <c r="AF504" s="63"/>
    </row>
    <row r="505" customFormat="false" ht="12.75" hidden="false" customHeight="false" outlineLevel="0" collapsed="false">
      <c r="AF505" s="63"/>
    </row>
    <row r="506" customFormat="false" ht="12.75" hidden="false" customHeight="false" outlineLevel="0" collapsed="false">
      <c r="AF506" s="63"/>
    </row>
    <row r="507" customFormat="false" ht="12.75" hidden="false" customHeight="false" outlineLevel="0" collapsed="false">
      <c r="AF507" s="63"/>
    </row>
    <row r="508" customFormat="false" ht="12.75" hidden="false" customHeight="false" outlineLevel="0" collapsed="false">
      <c r="AF508" s="63"/>
    </row>
    <row r="509" customFormat="false" ht="12.75" hidden="false" customHeight="false" outlineLevel="0" collapsed="false">
      <c r="AF509" s="63"/>
    </row>
    <row r="510" customFormat="false" ht="12.75" hidden="false" customHeight="false" outlineLevel="0" collapsed="false">
      <c r="AF510" s="63"/>
    </row>
    <row r="511" customFormat="false" ht="12.75" hidden="false" customHeight="false" outlineLevel="0" collapsed="false">
      <c r="AF511" s="63"/>
    </row>
    <row r="512" customFormat="false" ht="12.75" hidden="false" customHeight="false" outlineLevel="0" collapsed="false">
      <c r="AF512" s="63"/>
    </row>
    <row r="513" customFormat="false" ht="12.75" hidden="false" customHeight="false" outlineLevel="0" collapsed="false">
      <c r="AF513" s="63"/>
    </row>
    <row r="514" customFormat="false" ht="12.75" hidden="false" customHeight="false" outlineLevel="0" collapsed="false">
      <c r="AF514" s="63"/>
    </row>
    <row r="515" customFormat="false" ht="12.75" hidden="false" customHeight="false" outlineLevel="0" collapsed="false">
      <c r="AF515" s="63"/>
    </row>
    <row r="516" customFormat="false" ht="12.75" hidden="false" customHeight="false" outlineLevel="0" collapsed="false">
      <c r="AF516" s="63"/>
    </row>
    <row r="517" customFormat="false" ht="12.75" hidden="false" customHeight="false" outlineLevel="0" collapsed="false">
      <c r="AF517" s="63"/>
    </row>
    <row r="518" customFormat="false" ht="12.75" hidden="false" customHeight="false" outlineLevel="0" collapsed="false">
      <c r="AF518" s="63"/>
    </row>
    <row r="519" customFormat="false" ht="12.75" hidden="false" customHeight="false" outlineLevel="0" collapsed="false">
      <c r="AF519" s="63"/>
    </row>
    <row r="520" customFormat="false" ht="12.75" hidden="false" customHeight="false" outlineLevel="0" collapsed="false">
      <c r="AF520" s="63"/>
    </row>
    <row r="521" customFormat="false" ht="12.75" hidden="false" customHeight="false" outlineLevel="0" collapsed="false">
      <c r="AF521" s="63"/>
    </row>
    <row r="522" customFormat="false" ht="12.75" hidden="false" customHeight="false" outlineLevel="0" collapsed="false">
      <c r="AF522" s="63"/>
    </row>
    <row r="523" customFormat="false" ht="12.75" hidden="false" customHeight="false" outlineLevel="0" collapsed="false">
      <c r="AF523" s="63"/>
    </row>
    <row r="524" customFormat="false" ht="12.75" hidden="false" customHeight="false" outlineLevel="0" collapsed="false">
      <c r="AF524" s="63"/>
    </row>
    <row r="525" customFormat="false" ht="12.75" hidden="false" customHeight="false" outlineLevel="0" collapsed="false">
      <c r="AF525" s="63"/>
    </row>
    <row r="526" customFormat="false" ht="12.75" hidden="false" customHeight="false" outlineLevel="0" collapsed="false">
      <c r="AF526" s="63"/>
    </row>
    <row r="527" customFormat="false" ht="12.75" hidden="false" customHeight="false" outlineLevel="0" collapsed="false">
      <c r="AF527" s="63"/>
    </row>
    <row r="528" customFormat="false" ht="12.75" hidden="false" customHeight="false" outlineLevel="0" collapsed="false">
      <c r="AF528" s="63"/>
    </row>
    <row r="529" customFormat="false" ht="12.75" hidden="false" customHeight="false" outlineLevel="0" collapsed="false">
      <c r="AF529" s="63"/>
    </row>
    <row r="530" customFormat="false" ht="12.75" hidden="false" customHeight="false" outlineLevel="0" collapsed="false">
      <c r="AF530" s="63"/>
    </row>
    <row r="531" customFormat="false" ht="12.75" hidden="false" customHeight="false" outlineLevel="0" collapsed="false">
      <c r="AF531" s="63"/>
    </row>
    <row r="532" customFormat="false" ht="12.75" hidden="false" customHeight="false" outlineLevel="0" collapsed="false">
      <c r="AF532" s="63"/>
    </row>
    <row r="533" customFormat="false" ht="12.75" hidden="false" customHeight="false" outlineLevel="0" collapsed="false">
      <c r="AF533" s="63"/>
    </row>
    <row r="534" customFormat="false" ht="12.75" hidden="false" customHeight="false" outlineLevel="0" collapsed="false">
      <c r="AF534" s="63"/>
    </row>
    <row r="535" customFormat="false" ht="12.75" hidden="false" customHeight="false" outlineLevel="0" collapsed="false">
      <c r="AF535" s="63"/>
    </row>
    <row r="536" customFormat="false" ht="12.75" hidden="false" customHeight="false" outlineLevel="0" collapsed="false">
      <c r="AF536" s="63"/>
    </row>
    <row r="537" customFormat="false" ht="12.75" hidden="false" customHeight="false" outlineLevel="0" collapsed="false">
      <c r="AF537" s="63"/>
    </row>
    <row r="538" customFormat="false" ht="12.75" hidden="false" customHeight="false" outlineLevel="0" collapsed="false">
      <c r="AF538" s="63"/>
    </row>
    <row r="539" customFormat="false" ht="12.75" hidden="false" customHeight="false" outlineLevel="0" collapsed="false">
      <c r="AF539" s="63"/>
    </row>
    <row r="540" customFormat="false" ht="12.75" hidden="false" customHeight="false" outlineLevel="0" collapsed="false">
      <c r="AF540" s="63"/>
    </row>
    <row r="541" customFormat="false" ht="12.75" hidden="false" customHeight="false" outlineLevel="0" collapsed="false">
      <c r="AF541" s="63"/>
    </row>
    <row r="542" customFormat="false" ht="12.75" hidden="false" customHeight="false" outlineLevel="0" collapsed="false">
      <c r="AF542" s="63"/>
    </row>
    <row r="543" customFormat="false" ht="12.75" hidden="false" customHeight="false" outlineLevel="0" collapsed="false">
      <c r="AF543" s="63"/>
    </row>
    <row r="544" customFormat="false" ht="12.75" hidden="false" customHeight="false" outlineLevel="0" collapsed="false">
      <c r="AF544" s="63"/>
    </row>
    <row r="545" customFormat="false" ht="12.75" hidden="false" customHeight="false" outlineLevel="0" collapsed="false">
      <c r="AF545" s="63"/>
    </row>
    <row r="546" customFormat="false" ht="12.75" hidden="false" customHeight="false" outlineLevel="0" collapsed="false">
      <c r="AF546" s="63"/>
    </row>
    <row r="547" customFormat="false" ht="12.75" hidden="false" customHeight="false" outlineLevel="0" collapsed="false">
      <c r="AF547" s="63"/>
    </row>
    <row r="548" customFormat="false" ht="12.75" hidden="false" customHeight="false" outlineLevel="0" collapsed="false">
      <c r="AF548" s="63"/>
    </row>
    <row r="549" customFormat="false" ht="12.75" hidden="false" customHeight="false" outlineLevel="0" collapsed="false">
      <c r="AF549" s="63"/>
    </row>
    <row r="550" customFormat="false" ht="12.75" hidden="false" customHeight="false" outlineLevel="0" collapsed="false">
      <c r="AF550" s="63"/>
    </row>
    <row r="551" customFormat="false" ht="12.75" hidden="false" customHeight="false" outlineLevel="0" collapsed="false">
      <c r="AF551" s="63"/>
    </row>
    <row r="552" customFormat="false" ht="12.75" hidden="false" customHeight="false" outlineLevel="0" collapsed="false">
      <c r="AF552" s="63"/>
    </row>
    <row r="553" customFormat="false" ht="12.75" hidden="false" customHeight="false" outlineLevel="0" collapsed="false">
      <c r="AF553" s="63"/>
    </row>
    <row r="554" customFormat="false" ht="12.75" hidden="false" customHeight="false" outlineLevel="0" collapsed="false">
      <c r="AF554" s="63"/>
    </row>
    <row r="555" customFormat="false" ht="12.75" hidden="false" customHeight="false" outlineLevel="0" collapsed="false">
      <c r="AF555" s="63"/>
    </row>
    <row r="556" customFormat="false" ht="12.75" hidden="false" customHeight="false" outlineLevel="0" collapsed="false">
      <c r="AF556" s="63"/>
    </row>
    <row r="557" customFormat="false" ht="12.75" hidden="false" customHeight="false" outlineLevel="0" collapsed="false">
      <c r="AF557" s="63"/>
    </row>
    <row r="558" customFormat="false" ht="12.75" hidden="false" customHeight="false" outlineLevel="0" collapsed="false">
      <c r="AF558" s="63"/>
    </row>
    <row r="559" customFormat="false" ht="12.75" hidden="false" customHeight="false" outlineLevel="0" collapsed="false">
      <c r="AF559" s="63"/>
    </row>
    <row r="560" customFormat="false" ht="12.75" hidden="false" customHeight="false" outlineLevel="0" collapsed="false">
      <c r="AF560" s="63"/>
    </row>
    <row r="561" customFormat="false" ht="12.75" hidden="false" customHeight="false" outlineLevel="0" collapsed="false">
      <c r="AF561" s="63"/>
    </row>
    <row r="562" customFormat="false" ht="12.75" hidden="false" customHeight="false" outlineLevel="0" collapsed="false">
      <c r="AF562" s="63"/>
    </row>
    <row r="563" customFormat="false" ht="12.75" hidden="false" customHeight="false" outlineLevel="0" collapsed="false">
      <c r="AF563" s="63"/>
    </row>
    <row r="564" customFormat="false" ht="12.75" hidden="false" customHeight="false" outlineLevel="0" collapsed="false">
      <c r="AF564" s="63"/>
    </row>
    <row r="565" customFormat="false" ht="12.75" hidden="false" customHeight="false" outlineLevel="0" collapsed="false">
      <c r="AF565" s="63"/>
    </row>
    <row r="566" customFormat="false" ht="12.75" hidden="false" customHeight="false" outlineLevel="0" collapsed="false">
      <c r="AF566" s="63"/>
    </row>
    <row r="567" customFormat="false" ht="12.75" hidden="false" customHeight="false" outlineLevel="0" collapsed="false">
      <c r="AF567" s="63"/>
    </row>
    <row r="568" customFormat="false" ht="12.75" hidden="false" customHeight="false" outlineLevel="0" collapsed="false">
      <c r="AF568" s="63"/>
    </row>
    <row r="569" customFormat="false" ht="12.75" hidden="false" customHeight="false" outlineLevel="0" collapsed="false">
      <c r="AF569" s="63"/>
    </row>
    <row r="570" customFormat="false" ht="12.75" hidden="false" customHeight="false" outlineLevel="0" collapsed="false">
      <c r="AF570" s="63"/>
    </row>
    <row r="571" customFormat="false" ht="12.75" hidden="false" customHeight="false" outlineLevel="0" collapsed="false">
      <c r="AF571" s="63"/>
    </row>
    <row r="572" customFormat="false" ht="12.75" hidden="false" customHeight="false" outlineLevel="0" collapsed="false">
      <c r="AF572" s="63"/>
    </row>
    <row r="573" customFormat="false" ht="12.75" hidden="false" customHeight="false" outlineLevel="0" collapsed="false">
      <c r="AF573" s="63"/>
    </row>
    <row r="574" customFormat="false" ht="12.75" hidden="false" customHeight="false" outlineLevel="0" collapsed="false">
      <c r="AF574" s="63"/>
    </row>
    <row r="575" customFormat="false" ht="12.75" hidden="false" customHeight="false" outlineLevel="0" collapsed="false">
      <c r="AF575" s="63"/>
    </row>
    <row r="576" customFormat="false" ht="12.75" hidden="false" customHeight="false" outlineLevel="0" collapsed="false">
      <c r="AF576" s="63"/>
    </row>
    <row r="577" customFormat="false" ht="12.75" hidden="false" customHeight="false" outlineLevel="0" collapsed="false">
      <c r="AF577" s="63"/>
    </row>
    <row r="578" customFormat="false" ht="12.75" hidden="false" customHeight="false" outlineLevel="0" collapsed="false">
      <c r="AF578" s="63"/>
    </row>
    <row r="579" customFormat="false" ht="12.75" hidden="false" customHeight="false" outlineLevel="0" collapsed="false">
      <c r="AF579" s="63"/>
    </row>
    <row r="580" customFormat="false" ht="12.75" hidden="false" customHeight="false" outlineLevel="0" collapsed="false">
      <c r="AF580" s="63"/>
    </row>
    <row r="581" customFormat="false" ht="12.75" hidden="false" customHeight="false" outlineLevel="0" collapsed="false">
      <c r="AF581" s="63"/>
    </row>
    <row r="582" customFormat="false" ht="12.75" hidden="false" customHeight="false" outlineLevel="0" collapsed="false">
      <c r="AF582" s="63"/>
    </row>
    <row r="583" customFormat="false" ht="12.75" hidden="false" customHeight="false" outlineLevel="0" collapsed="false">
      <c r="AF583" s="63"/>
    </row>
    <row r="584" customFormat="false" ht="12.75" hidden="false" customHeight="false" outlineLevel="0" collapsed="false">
      <c r="AF584" s="63"/>
    </row>
    <row r="585" customFormat="false" ht="12.75" hidden="false" customHeight="false" outlineLevel="0" collapsed="false">
      <c r="AF585" s="63"/>
    </row>
    <row r="586" customFormat="false" ht="12.75" hidden="false" customHeight="false" outlineLevel="0" collapsed="false">
      <c r="AF586" s="63"/>
    </row>
    <row r="587" customFormat="false" ht="12.75" hidden="false" customHeight="false" outlineLevel="0" collapsed="false">
      <c r="AF587" s="63"/>
    </row>
    <row r="588" customFormat="false" ht="12.75" hidden="false" customHeight="false" outlineLevel="0" collapsed="false">
      <c r="AF588" s="63"/>
    </row>
    <row r="589" customFormat="false" ht="12.75" hidden="false" customHeight="false" outlineLevel="0" collapsed="false">
      <c r="AF589" s="63"/>
    </row>
    <row r="590" customFormat="false" ht="12.75" hidden="false" customHeight="false" outlineLevel="0" collapsed="false">
      <c r="AF590" s="63"/>
    </row>
    <row r="591" customFormat="false" ht="12.75" hidden="false" customHeight="false" outlineLevel="0" collapsed="false">
      <c r="AF591" s="63"/>
    </row>
    <row r="592" customFormat="false" ht="12.75" hidden="false" customHeight="false" outlineLevel="0" collapsed="false">
      <c r="AF592" s="63"/>
    </row>
    <row r="593" customFormat="false" ht="12.75" hidden="false" customHeight="false" outlineLevel="0" collapsed="false">
      <c r="AF593" s="63"/>
    </row>
    <row r="594" customFormat="false" ht="12.75" hidden="false" customHeight="false" outlineLevel="0" collapsed="false">
      <c r="AF594" s="63"/>
    </row>
    <row r="595" customFormat="false" ht="12.75" hidden="false" customHeight="false" outlineLevel="0" collapsed="false">
      <c r="AF595" s="63"/>
    </row>
    <row r="596" customFormat="false" ht="12.75" hidden="false" customHeight="false" outlineLevel="0" collapsed="false">
      <c r="AF596" s="63"/>
    </row>
    <row r="597" customFormat="false" ht="12.75" hidden="false" customHeight="false" outlineLevel="0" collapsed="false">
      <c r="AF597" s="63"/>
    </row>
    <row r="598" customFormat="false" ht="12.75" hidden="false" customHeight="false" outlineLevel="0" collapsed="false">
      <c r="AF598" s="63"/>
    </row>
    <row r="599" customFormat="false" ht="12.75" hidden="false" customHeight="false" outlineLevel="0" collapsed="false">
      <c r="AF599" s="63"/>
    </row>
    <row r="600" customFormat="false" ht="12.75" hidden="false" customHeight="false" outlineLevel="0" collapsed="false">
      <c r="AF600" s="63"/>
    </row>
    <row r="601" customFormat="false" ht="12.75" hidden="false" customHeight="false" outlineLevel="0" collapsed="false">
      <c r="AF601" s="63"/>
    </row>
    <row r="602" customFormat="false" ht="12.75" hidden="false" customHeight="false" outlineLevel="0" collapsed="false">
      <c r="AF602" s="63"/>
    </row>
    <row r="603" customFormat="false" ht="12.75" hidden="false" customHeight="false" outlineLevel="0" collapsed="false">
      <c r="AF603" s="63"/>
    </row>
    <row r="604" customFormat="false" ht="12.75" hidden="false" customHeight="false" outlineLevel="0" collapsed="false">
      <c r="AF604" s="63"/>
    </row>
    <row r="605" customFormat="false" ht="12.75" hidden="false" customHeight="false" outlineLevel="0" collapsed="false">
      <c r="AF605" s="63"/>
    </row>
    <row r="606" customFormat="false" ht="12.75" hidden="false" customHeight="false" outlineLevel="0" collapsed="false">
      <c r="AF606" s="63"/>
    </row>
    <row r="607" customFormat="false" ht="12.75" hidden="false" customHeight="false" outlineLevel="0" collapsed="false">
      <c r="AF607" s="63"/>
    </row>
    <row r="608" customFormat="false" ht="12.75" hidden="false" customHeight="false" outlineLevel="0" collapsed="false">
      <c r="AF608" s="63"/>
    </row>
    <row r="609" customFormat="false" ht="12.75" hidden="false" customHeight="false" outlineLevel="0" collapsed="false">
      <c r="AF609" s="63"/>
    </row>
    <row r="610" customFormat="false" ht="12.75" hidden="false" customHeight="false" outlineLevel="0" collapsed="false">
      <c r="AF610" s="63"/>
    </row>
    <row r="611" customFormat="false" ht="12.75" hidden="false" customHeight="false" outlineLevel="0" collapsed="false">
      <c r="AF611" s="63"/>
    </row>
    <row r="612" customFormat="false" ht="12.75" hidden="false" customHeight="false" outlineLevel="0" collapsed="false">
      <c r="AF612" s="63"/>
    </row>
    <row r="613" customFormat="false" ht="12.75" hidden="false" customHeight="false" outlineLevel="0" collapsed="false">
      <c r="AF613" s="63"/>
    </row>
    <row r="614" customFormat="false" ht="12.75" hidden="false" customHeight="false" outlineLevel="0" collapsed="false">
      <c r="AF614" s="63"/>
    </row>
    <row r="615" customFormat="false" ht="12.75" hidden="false" customHeight="false" outlineLevel="0" collapsed="false">
      <c r="AF615" s="63"/>
    </row>
    <row r="616" customFormat="false" ht="12.75" hidden="false" customHeight="false" outlineLevel="0" collapsed="false">
      <c r="AF616" s="63"/>
    </row>
    <row r="617" customFormat="false" ht="12.75" hidden="false" customHeight="false" outlineLevel="0" collapsed="false">
      <c r="AF617" s="63"/>
    </row>
    <row r="618" customFormat="false" ht="12.75" hidden="false" customHeight="false" outlineLevel="0" collapsed="false">
      <c r="AF618" s="63"/>
    </row>
    <row r="619" customFormat="false" ht="12.75" hidden="false" customHeight="false" outlineLevel="0" collapsed="false">
      <c r="AF619" s="63"/>
    </row>
    <row r="620" customFormat="false" ht="12.75" hidden="false" customHeight="false" outlineLevel="0" collapsed="false">
      <c r="AF620" s="63"/>
    </row>
    <row r="621" customFormat="false" ht="12.75" hidden="false" customHeight="false" outlineLevel="0" collapsed="false">
      <c r="AF621" s="63"/>
    </row>
    <row r="622" customFormat="false" ht="12.75" hidden="false" customHeight="false" outlineLevel="0" collapsed="false">
      <c r="AF622" s="63"/>
    </row>
    <row r="623" customFormat="false" ht="12.75" hidden="false" customHeight="false" outlineLevel="0" collapsed="false">
      <c r="AF623" s="63"/>
    </row>
    <row r="624" customFormat="false" ht="12.75" hidden="false" customHeight="false" outlineLevel="0" collapsed="false">
      <c r="AF624" s="63"/>
    </row>
    <row r="625" customFormat="false" ht="12.75" hidden="false" customHeight="false" outlineLevel="0" collapsed="false">
      <c r="AF625" s="63"/>
    </row>
    <row r="626" customFormat="false" ht="12.75" hidden="false" customHeight="false" outlineLevel="0" collapsed="false">
      <c r="AF626" s="63"/>
    </row>
    <row r="627" customFormat="false" ht="12.75" hidden="false" customHeight="false" outlineLevel="0" collapsed="false">
      <c r="AF627" s="63"/>
    </row>
    <row r="628" customFormat="false" ht="12.75" hidden="false" customHeight="false" outlineLevel="0" collapsed="false">
      <c r="AF628" s="63"/>
    </row>
    <row r="629" customFormat="false" ht="12.75" hidden="false" customHeight="false" outlineLevel="0" collapsed="false">
      <c r="AF629" s="63"/>
    </row>
    <row r="630" customFormat="false" ht="12.75" hidden="false" customHeight="false" outlineLevel="0" collapsed="false">
      <c r="AF630" s="63"/>
    </row>
    <row r="631" customFormat="false" ht="12.75" hidden="false" customHeight="false" outlineLevel="0" collapsed="false">
      <c r="AF631" s="63"/>
    </row>
    <row r="632" customFormat="false" ht="12.75" hidden="false" customHeight="false" outlineLevel="0" collapsed="false">
      <c r="AF632" s="63"/>
    </row>
    <row r="633" customFormat="false" ht="12.75" hidden="false" customHeight="false" outlineLevel="0" collapsed="false">
      <c r="AF633" s="63"/>
    </row>
    <row r="634" customFormat="false" ht="12.75" hidden="false" customHeight="false" outlineLevel="0" collapsed="false">
      <c r="AF634" s="63"/>
    </row>
    <row r="635" customFormat="false" ht="12.75" hidden="false" customHeight="false" outlineLevel="0" collapsed="false">
      <c r="AF635" s="63"/>
    </row>
    <row r="636" customFormat="false" ht="12.75" hidden="false" customHeight="false" outlineLevel="0" collapsed="false">
      <c r="AF636" s="63"/>
    </row>
    <row r="637" customFormat="false" ht="12.75" hidden="false" customHeight="false" outlineLevel="0" collapsed="false">
      <c r="AF637" s="63"/>
    </row>
    <row r="638" customFormat="false" ht="12.75" hidden="false" customHeight="false" outlineLevel="0" collapsed="false">
      <c r="AF638" s="63"/>
    </row>
    <row r="639" customFormat="false" ht="12.75" hidden="false" customHeight="false" outlineLevel="0" collapsed="false">
      <c r="AF639" s="63"/>
    </row>
    <row r="640" customFormat="false" ht="12.75" hidden="false" customHeight="false" outlineLevel="0" collapsed="false">
      <c r="AF640" s="63"/>
    </row>
    <row r="641" customFormat="false" ht="12.75" hidden="false" customHeight="false" outlineLevel="0" collapsed="false">
      <c r="AF641" s="63"/>
    </row>
    <row r="642" customFormat="false" ht="12.75" hidden="false" customHeight="false" outlineLevel="0" collapsed="false">
      <c r="AF642" s="63"/>
    </row>
    <row r="643" customFormat="false" ht="12.75" hidden="false" customHeight="false" outlineLevel="0" collapsed="false">
      <c r="AF643" s="63"/>
    </row>
    <row r="644" customFormat="false" ht="12.75" hidden="false" customHeight="false" outlineLevel="0" collapsed="false">
      <c r="AF644" s="63"/>
    </row>
    <row r="645" customFormat="false" ht="12.75" hidden="false" customHeight="false" outlineLevel="0" collapsed="false">
      <c r="AF645" s="63"/>
    </row>
    <row r="646" customFormat="false" ht="12.75" hidden="false" customHeight="false" outlineLevel="0" collapsed="false">
      <c r="AF646" s="63"/>
    </row>
    <row r="647" customFormat="false" ht="12.75" hidden="false" customHeight="false" outlineLevel="0" collapsed="false">
      <c r="AF647" s="63"/>
    </row>
    <row r="648" customFormat="false" ht="12.75" hidden="false" customHeight="false" outlineLevel="0" collapsed="false">
      <c r="AF648" s="63"/>
    </row>
    <row r="649" customFormat="false" ht="12.75" hidden="false" customHeight="false" outlineLevel="0" collapsed="false">
      <c r="AF649" s="63"/>
    </row>
    <row r="650" customFormat="false" ht="12.75" hidden="false" customHeight="false" outlineLevel="0" collapsed="false">
      <c r="AF650" s="63"/>
    </row>
    <row r="651" customFormat="false" ht="12.75" hidden="false" customHeight="false" outlineLevel="0" collapsed="false">
      <c r="AF651" s="63"/>
    </row>
    <row r="652" customFormat="false" ht="12.75" hidden="false" customHeight="false" outlineLevel="0" collapsed="false">
      <c r="AF652" s="63"/>
    </row>
    <row r="653" customFormat="false" ht="12.75" hidden="false" customHeight="false" outlineLevel="0" collapsed="false">
      <c r="AF653" s="63"/>
    </row>
    <row r="654" customFormat="false" ht="12.75" hidden="false" customHeight="false" outlineLevel="0" collapsed="false">
      <c r="AF654" s="63"/>
    </row>
    <row r="655" customFormat="false" ht="12.75" hidden="false" customHeight="false" outlineLevel="0" collapsed="false">
      <c r="AF655" s="63"/>
    </row>
    <row r="656" customFormat="false" ht="12.75" hidden="false" customHeight="false" outlineLevel="0" collapsed="false">
      <c r="AF656" s="63"/>
    </row>
    <row r="657" customFormat="false" ht="12.75" hidden="false" customHeight="false" outlineLevel="0" collapsed="false">
      <c r="AF657" s="63"/>
    </row>
    <row r="658" customFormat="false" ht="12.75" hidden="false" customHeight="false" outlineLevel="0" collapsed="false">
      <c r="AF658" s="63"/>
    </row>
    <row r="659" customFormat="false" ht="12.75" hidden="false" customHeight="false" outlineLevel="0" collapsed="false">
      <c r="AF659" s="63"/>
    </row>
    <row r="660" customFormat="false" ht="12.75" hidden="false" customHeight="false" outlineLevel="0" collapsed="false">
      <c r="AF660" s="63"/>
    </row>
    <row r="661" customFormat="false" ht="12.75" hidden="false" customHeight="false" outlineLevel="0" collapsed="false">
      <c r="AF661" s="63"/>
    </row>
    <row r="662" customFormat="false" ht="12.75" hidden="false" customHeight="false" outlineLevel="0" collapsed="false">
      <c r="AF662" s="63"/>
    </row>
    <row r="663" customFormat="false" ht="12.75" hidden="false" customHeight="false" outlineLevel="0" collapsed="false">
      <c r="AF663" s="63"/>
    </row>
    <row r="664" customFormat="false" ht="12.75" hidden="false" customHeight="false" outlineLevel="0" collapsed="false">
      <c r="AF664" s="63"/>
    </row>
    <row r="665" customFormat="false" ht="12.75" hidden="false" customHeight="false" outlineLevel="0" collapsed="false">
      <c r="AF665" s="63"/>
    </row>
    <row r="666" customFormat="false" ht="12.75" hidden="false" customHeight="false" outlineLevel="0" collapsed="false">
      <c r="AF666" s="63"/>
    </row>
    <row r="667" customFormat="false" ht="12.75" hidden="false" customHeight="false" outlineLevel="0" collapsed="false">
      <c r="AF667" s="63"/>
    </row>
    <row r="668" customFormat="false" ht="12.75" hidden="false" customHeight="false" outlineLevel="0" collapsed="false">
      <c r="AF668" s="63"/>
    </row>
    <row r="669" customFormat="false" ht="12.75" hidden="false" customHeight="false" outlineLevel="0" collapsed="false">
      <c r="AF669" s="63"/>
    </row>
    <row r="670" customFormat="false" ht="12.75" hidden="false" customHeight="false" outlineLevel="0" collapsed="false">
      <c r="AF670" s="63"/>
    </row>
    <row r="671" customFormat="false" ht="12.75" hidden="false" customHeight="false" outlineLevel="0" collapsed="false">
      <c r="AF671" s="63"/>
    </row>
    <row r="672" customFormat="false" ht="12.75" hidden="false" customHeight="false" outlineLevel="0" collapsed="false">
      <c r="AF672" s="63"/>
    </row>
    <row r="673" customFormat="false" ht="12.75" hidden="false" customHeight="false" outlineLevel="0" collapsed="false">
      <c r="AF673" s="63"/>
    </row>
    <row r="674" customFormat="false" ht="12.75" hidden="false" customHeight="false" outlineLevel="0" collapsed="false">
      <c r="AF674" s="63"/>
    </row>
    <row r="675" customFormat="false" ht="12.75" hidden="false" customHeight="false" outlineLevel="0" collapsed="false">
      <c r="AF675" s="63"/>
    </row>
    <row r="676" customFormat="false" ht="12.75" hidden="false" customHeight="false" outlineLevel="0" collapsed="false">
      <c r="AF676" s="63"/>
    </row>
    <row r="677" customFormat="false" ht="12.75" hidden="false" customHeight="false" outlineLevel="0" collapsed="false">
      <c r="AF677" s="63"/>
    </row>
    <row r="678" customFormat="false" ht="12.75" hidden="false" customHeight="false" outlineLevel="0" collapsed="false">
      <c r="AF678" s="63"/>
    </row>
    <row r="679" customFormat="false" ht="12.75" hidden="false" customHeight="false" outlineLevel="0" collapsed="false">
      <c r="AF679" s="63"/>
    </row>
    <row r="680" customFormat="false" ht="12.75" hidden="false" customHeight="false" outlineLevel="0" collapsed="false">
      <c r="AF680" s="63"/>
    </row>
    <row r="681" customFormat="false" ht="12.75" hidden="false" customHeight="false" outlineLevel="0" collapsed="false">
      <c r="AF681" s="63"/>
    </row>
    <row r="682" customFormat="false" ht="12.75" hidden="false" customHeight="false" outlineLevel="0" collapsed="false">
      <c r="AF682" s="63"/>
    </row>
    <row r="683" customFormat="false" ht="12.75" hidden="false" customHeight="false" outlineLevel="0" collapsed="false">
      <c r="AF683" s="63"/>
    </row>
    <row r="684" customFormat="false" ht="12.75" hidden="false" customHeight="false" outlineLevel="0" collapsed="false">
      <c r="AF684" s="63"/>
    </row>
    <row r="685" customFormat="false" ht="12.75" hidden="false" customHeight="false" outlineLevel="0" collapsed="false">
      <c r="AF685" s="63"/>
    </row>
    <row r="686" customFormat="false" ht="12.75" hidden="false" customHeight="false" outlineLevel="0" collapsed="false">
      <c r="AF686" s="63"/>
    </row>
    <row r="687" customFormat="false" ht="12.75" hidden="false" customHeight="false" outlineLevel="0" collapsed="false">
      <c r="AF687" s="63"/>
    </row>
    <row r="688" customFormat="false" ht="12.75" hidden="false" customHeight="false" outlineLevel="0" collapsed="false">
      <c r="AF688" s="63"/>
    </row>
    <row r="689" customFormat="false" ht="12.75" hidden="false" customHeight="false" outlineLevel="0" collapsed="false">
      <c r="AF689" s="63"/>
    </row>
    <row r="690" customFormat="false" ht="12.75" hidden="false" customHeight="false" outlineLevel="0" collapsed="false">
      <c r="AF690" s="63"/>
    </row>
    <row r="691" customFormat="false" ht="12.75" hidden="false" customHeight="false" outlineLevel="0" collapsed="false">
      <c r="AF691" s="63"/>
    </row>
    <row r="692" customFormat="false" ht="12.75" hidden="false" customHeight="false" outlineLevel="0" collapsed="false">
      <c r="AF692" s="63"/>
    </row>
    <row r="693" customFormat="false" ht="12.75" hidden="false" customHeight="false" outlineLevel="0" collapsed="false">
      <c r="AF693" s="63"/>
    </row>
    <row r="694" customFormat="false" ht="12.75" hidden="false" customHeight="false" outlineLevel="0" collapsed="false">
      <c r="AF694" s="63"/>
    </row>
    <row r="695" customFormat="false" ht="12.75" hidden="false" customHeight="false" outlineLevel="0" collapsed="false">
      <c r="AF695" s="63"/>
    </row>
    <row r="696" customFormat="false" ht="12.75" hidden="false" customHeight="false" outlineLevel="0" collapsed="false">
      <c r="AF696" s="63"/>
    </row>
    <row r="697" customFormat="false" ht="12.75" hidden="false" customHeight="false" outlineLevel="0" collapsed="false">
      <c r="AF697" s="63"/>
    </row>
    <row r="698" customFormat="false" ht="12.75" hidden="false" customHeight="false" outlineLevel="0" collapsed="false">
      <c r="AF698" s="63"/>
    </row>
    <row r="699" customFormat="false" ht="12.75" hidden="false" customHeight="false" outlineLevel="0" collapsed="false">
      <c r="AF699" s="63"/>
    </row>
    <row r="700" customFormat="false" ht="12.75" hidden="false" customHeight="false" outlineLevel="0" collapsed="false">
      <c r="AF700" s="63"/>
    </row>
    <row r="701" customFormat="false" ht="12.75" hidden="false" customHeight="false" outlineLevel="0" collapsed="false">
      <c r="AF701" s="63"/>
    </row>
    <row r="702" customFormat="false" ht="12.75" hidden="false" customHeight="false" outlineLevel="0" collapsed="false">
      <c r="AF702" s="63"/>
    </row>
    <row r="703" customFormat="false" ht="12.75" hidden="false" customHeight="false" outlineLevel="0" collapsed="false">
      <c r="AF703" s="63"/>
    </row>
    <row r="704" customFormat="false" ht="12.75" hidden="false" customHeight="false" outlineLevel="0" collapsed="false">
      <c r="AF704" s="63"/>
    </row>
    <row r="705" customFormat="false" ht="12.75" hidden="false" customHeight="false" outlineLevel="0" collapsed="false">
      <c r="AF705" s="63"/>
    </row>
    <row r="706" customFormat="false" ht="12.75" hidden="false" customHeight="false" outlineLevel="0" collapsed="false">
      <c r="AF706" s="63"/>
    </row>
    <row r="707" customFormat="false" ht="12.75" hidden="false" customHeight="false" outlineLevel="0" collapsed="false">
      <c r="AF707" s="63"/>
    </row>
    <row r="708" customFormat="false" ht="12.75" hidden="false" customHeight="false" outlineLevel="0" collapsed="false">
      <c r="AF708" s="63"/>
    </row>
    <row r="709" customFormat="false" ht="12.75" hidden="false" customHeight="false" outlineLevel="0" collapsed="false">
      <c r="AF709" s="63"/>
    </row>
    <row r="710" customFormat="false" ht="12.75" hidden="false" customHeight="false" outlineLevel="0" collapsed="false">
      <c r="AF710" s="63"/>
    </row>
    <row r="711" customFormat="false" ht="12.75" hidden="false" customHeight="false" outlineLevel="0" collapsed="false">
      <c r="AF711" s="63"/>
    </row>
    <row r="712" customFormat="false" ht="12.75" hidden="false" customHeight="false" outlineLevel="0" collapsed="false">
      <c r="AF712" s="63"/>
    </row>
    <row r="713" customFormat="false" ht="12.75" hidden="false" customHeight="false" outlineLevel="0" collapsed="false">
      <c r="AF713" s="63"/>
    </row>
    <row r="714" customFormat="false" ht="12.75" hidden="false" customHeight="false" outlineLevel="0" collapsed="false">
      <c r="AF714" s="63"/>
    </row>
    <row r="715" customFormat="false" ht="12.75" hidden="false" customHeight="false" outlineLevel="0" collapsed="false">
      <c r="AF715" s="63"/>
    </row>
    <row r="716" customFormat="false" ht="12.75" hidden="false" customHeight="false" outlineLevel="0" collapsed="false">
      <c r="AF716" s="63"/>
    </row>
    <row r="717" customFormat="false" ht="12.75" hidden="false" customHeight="false" outlineLevel="0" collapsed="false">
      <c r="AF717" s="63"/>
    </row>
    <row r="718" customFormat="false" ht="12.75" hidden="false" customHeight="false" outlineLevel="0" collapsed="false">
      <c r="AF718" s="63"/>
    </row>
    <row r="719" customFormat="false" ht="12.75" hidden="false" customHeight="false" outlineLevel="0" collapsed="false">
      <c r="AF719" s="63"/>
    </row>
    <row r="720" customFormat="false" ht="12.75" hidden="false" customHeight="false" outlineLevel="0" collapsed="false">
      <c r="AF720" s="63"/>
    </row>
    <row r="721" customFormat="false" ht="12.75" hidden="false" customHeight="false" outlineLevel="0" collapsed="false">
      <c r="AF721" s="63"/>
    </row>
    <row r="722" customFormat="false" ht="12.75" hidden="false" customHeight="false" outlineLevel="0" collapsed="false">
      <c r="AF722" s="63"/>
    </row>
    <row r="723" customFormat="false" ht="12.75" hidden="false" customHeight="false" outlineLevel="0" collapsed="false">
      <c r="AF723" s="63"/>
    </row>
    <row r="724" customFormat="false" ht="12.75" hidden="false" customHeight="false" outlineLevel="0" collapsed="false">
      <c r="AF724" s="63"/>
    </row>
    <row r="725" customFormat="false" ht="12.75" hidden="false" customHeight="false" outlineLevel="0" collapsed="false">
      <c r="AF725" s="63"/>
    </row>
    <row r="726" customFormat="false" ht="12.75" hidden="false" customHeight="false" outlineLevel="0" collapsed="false">
      <c r="AF726" s="63"/>
    </row>
    <row r="727" customFormat="false" ht="12.75" hidden="false" customHeight="false" outlineLevel="0" collapsed="false">
      <c r="AF727" s="63"/>
    </row>
    <row r="728" customFormat="false" ht="12.75" hidden="false" customHeight="false" outlineLevel="0" collapsed="false">
      <c r="AF728" s="63"/>
    </row>
    <row r="729" customFormat="false" ht="12.75" hidden="false" customHeight="false" outlineLevel="0" collapsed="false">
      <c r="AF729" s="63"/>
    </row>
    <row r="730" customFormat="false" ht="12.75" hidden="false" customHeight="false" outlineLevel="0" collapsed="false">
      <c r="AF730" s="63"/>
    </row>
    <row r="731" customFormat="false" ht="12.75" hidden="false" customHeight="false" outlineLevel="0" collapsed="false">
      <c r="AF731" s="63"/>
    </row>
    <row r="732" customFormat="false" ht="12.75" hidden="false" customHeight="false" outlineLevel="0" collapsed="false">
      <c r="AF732" s="63"/>
    </row>
    <row r="733" customFormat="false" ht="12.75" hidden="false" customHeight="false" outlineLevel="0" collapsed="false">
      <c r="AF733" s="63"/>
    </row>
    <row r="734" customFormat="false" ht="12.75" hidden="false" customHeight="false" outlineLevel="0" collapsed="false">
      <c r="AF734" s="63"/>
    </row>
    <row r="735" customFormat="false" ht="12.75" hidden="false" customHeight="false" outlineLevel="0" collapsed="false">
      <c r="AF735" s="63"/>
    </row>
    <row r="736" customFormat="false" ht="12.75" hidden="false" customHeight="false" outlineLevel="0" collapsed="false">
      <c r="AF736" s="63"/>
    </row>
    <row r="737" customFormat="false" ht="12.75" hidden="false" customHeight="false" outlineLevel="0" collapsed="false">
      <c r="AF737" s="63"/>
    </row>
    <row r="738" customFormat="false" ht="12.75" hidden="false" customHeight="false" outlineLevel="0" collapsed="false">
      <c r="AF738" s="63"/>
    </row>
    <row r="739" customFormat="false" ht="12.75" hidden="false" customHeight="false" outlineLevel="0" collapsed="false">
      <c r="AF739" s="63"/>
    </row>
    <row r="740" customFormat="false" ht="12.75" hidden="false" customHeight="false" outlineLevel="0" collapsed="false">
      <c r="AF740" s="63"/>
    </row>
    <row r="741" customFormat="false" ht="12.75" hidden="false" customHeight="false" outlineLevel="0" collapsed="false">
      <c r="AF741" s="63"/>
    </row>
    <row r="742" customFormat="false" ht="12.75" hidden="false" customHeight="false" outlineLevel="0" collapsed="false">
      <c r="AF742" s="63"/>
    </row>
    <row r="743" customFormat="false" ht="12.75" hidden="false" customHeight="false" outlineLevel="0" collapsed="false">
      <c r="AF743" s="63"/>
    </row>
    <row r="744" customFormat="false" ht="12.75" hidden="false" customHeight="false" outlineLevel="0" collapsed="false">
      <c r="AF744" s="63"/>
    </row>
    <row r="745" customFormat="false" ht="12.75" hidden="false" customHeight="false" outlineLevel="0" collapsed="false">
      <c r="AF745" s="63"/>
    </row>
    <row r="746" customFormat="false" ht="12.75" hidden="false" customHeight="false" outlineLevel="0" collapsed="false">
      <c r="AF746" s="63"/>
    </row>
    <row r="747" customFormat="false" ht="12.75" hidden="false" customHeight="false" outlineLevel="0" collapsed="false">
      <c r="AF747" s="63"/>
    </row>
    <row r="748" customFormat="false" ht="12.75" hidden="false" customHeight="false" outlineLevel="0" collapsed="false">
      <c r="AF748" s="63"/>
    </row>
    <row r="749" customFormat="false" ht="12.75" hidden="false" customHeight="false" outlineLevel="0" collapsed="false">
      <c r="AF749" s="63"/>
    </row>
    <row r="750" customFormat="false" ht="12.75" hidden="false" customHeight="false" outlineLevel="0" collapsed="false">
      <c r="AF750" s="63"/>
    </row>
    <row r="751" customFormat="false" ht="12.75" hidden="false" customHeight="false" outlineLevel="0" collapsed="false">
      <c r="AF751" s="63"/>
    </row>
    <row r="752" customFormat="false" ht="12.75" hidden="false" customHeight="false" outlineLevel="0" collapsed="false">
      <c r="AF752" s="63"/>
    </row>
    <row r="753" customFormat="false" ht="12.75" hidden="false" customHeight="false" outlineLevel="0" collapsed="false">
      <c r="AF753" s="63"/>
    </row>
    <row r="754" customFormat="false" ht="12.75" hidden="false" customHeight="false" outlineLevel="0" collapsed="false">
      <c r="AF754" s="63"/>
    </row>
    <row r="755" customFormat="false" ht="12.75" hidden="false" customHeight="false" outlineLevel="0" collapsed="false">
      <c r="AF755" s="63"/>
    </row>
    <row r="756" customFormat="false" ht="12.75" hidden="false" customHeight="false" outlineLevel="0" collapsed="false">
      <c r="AF756" s="63"/>
    </row>
    <row r="757" customFormat="false" ht="12.75" hidden="false" customHeight="false" outlineLevel="0" collapsed="false">
      <c r="AF757" s="63"/>
    </row>
    <row r="758" customFormat="false" ht="12.75" hidden="false" customHeight="false" outlineLevel="0" collapsed="false">
      <c r="AF758" s="63"/>
    </row>
    <row r="759" customFormat="false" ht="12.75" hidden="false" customHeight="false" outlineLevel="0" collapsed="false">
      <c r="AF759" s="63"/>
    </row>
    <row r="760" customFormat="false" ht="12.75" hidden="false" customHeight="false" outlineLevel="0" collapsed="false">
      <c r="AF760" s="63"/>
    </row>
    <row r="761" customFormat="false" ht="12.75" hidden="false" customHeight="false" outlineLevel="0" collapsed="false">
      <c r="AF761" s="63"/>
    </row>
    <row r="762" customFormat="false" ht="12.75" hidden="false" customHeight="false" outlineLevel="0" collapsed="false">
      <c r="AF762" s="63"/>
    </row>
    <row r="763" customFormat="false" ht="12.75" hidden="false" customHeight="false" outlineLevel="0" collapsed="false">
      <c r="AF763" s="63"/>
    </row>
    <row r="764" customFormat="false" ht="12.75" hidden="false" customHeight="false" outlineLevel="0" collapsed="false">
      <c r="AF764" s="63"/>
    </row>
    <row r="765" customFormat="false" ht="12.75" hidden="false" customHeight="false" outlineLevel="0" collapsed="false">
      <c r="AF765" s="63"/>
    </row>
    <row r="766" customFormat="false" ht="12.75" hidden="false" customHeight="false" outlineLevel="0" collapsed="false">
      <c r="AF766" s="63"/>
    </row>
    <row r="767" customFormat="false" ht="12.75" hidden="false" customHeight="false" outlineLevel="0" collapsed="false">
      <c r="AF767" s="63"/>
    </row>
    <row r="768" customFormat="false" ht="12.75" hidden="false" customHeight="false" outlineLevel="0" collapsed="false">
      <c r="AF768" s="63"/>
    </row>
    <row r="769" customFormat="false" ht="12.75" hidden="false" customHeight="false" outlineLevel="0" collapsed="false">
      <c r="AF769" s="63"/>
    </row>
    <row r="770" customFormat="false" ht="12.75" hidden="false" customHeight="false" outlineLevel="0" collapsed="false">
      <c r="AF770" s="63"/>
    </row>
    <row r="771" customFormat="false" ht="12.75" hidden="false" customHeight="false" outlineLevel="0" collapsed="false">
      <c r="AF771" s="63"/>
    </row>
    <row r="772" customFormat="false" ht="12.75" hidden="false" customHeight="false" outlineLevel="0" collapsed="false">
      <c r="AF772" s="63"/>
    </row>
    <row r="773" customFormat="false" ht="12.75" hidden="false" customHeight="false" outlineLevel="0" collapsed="false">
      <c r="AF773" s="63"/>
    </row>
    <row r="774" customFormat="false" ht="12.75" hidden="false" customHeight="false" outlineLevel="0" collapsed="false">
      <c r="AF774" s="63"/>
    </row>
    <row r="775" customFormat="false" ht="12.75" hidden="false" customHeight="false" outlineLevel="0" collapsed="false">
      <c r="AF775" s="63"/>
    </row>
    <row r="776" customFormat="false" ht="12.75" hidden="false" customHeight="false" outlineLevel="0" collapsed="false">
      <c r="AF776" s="63"/>
    </row>
    <row r="777" customFormat="false" ht="12.75" hidden="false" customHeight="false" outlineLevel="0" collapsed="false">
      <c r="AF777" s="63"/>
    </row>
    <row r="778" customFormat="false" ht="12.75" hidden="false" customHeight="false" outlineLevel="0" collapsed="false">
      <c r="AF778" s="63"/>
    </row>
    <row r="779" customFormat="false" ht="12.75" hidden="false" customHeight="false" outlineLevel="0" collapsed="false">
      <c r="AF779" s="63"/>
    </row>
    <row r="780" customFormat="false" ht="12.75" hidden="false" customHeight="false" outlineLevel="0" collapsed="false">
      <c r="AF780" s="63"/>
    </row>
    <row r="781" customFormat="false" ht="12.75" hidden="false" customHeight="false" outlineLevel="0" collapsed="false">
      <c r="AF781" s="63"/>
    </row>
    <row r="782" customFormat="false" ht="12.75" hidden="false" customHeight="false" outlineLevel="0" collapsed="false">
      <c r="AF782" s="63"/>
    </row>
    <row r="783" customFormat="false" ht="12.75" hidden="false" customHeight="false" outlineLevel="0" collapsed="false">
      <c r="AF783" s="63"/>
    </row>
    <row r="784" customFormat="false" ht="12.75" hidden="false" customHeight="false" outlineLevel="0" collapsed="false">
      <c r="AF784" s="63"/>
    </row>
    <row r="785" customFormat="false" ht="12.75" hidden="false" customHeight="false" outlineLevel="0" collapsed="false">
      <c r="AF785" s="63"/>
    </row>
    <row r="786" customFormat="false" ht="12.75" hidden="false" customHeight="false" outlineLevel="0" collapsed="false">
      <c r="AF786" s="63"/>
    </row>
    <row r="787" customFormat="false" ht="12.75" hidden="false" customHeight="false" outlineLevel="0" collapsed="false">
      <c r="AF787" s="63"/>
    </row>
    <row r="788" customFormat="false" ht="12.75" hidden="false" customHeight="false" outlineLevel="0" collapsed="false">
      <c r="AF788" s="63"/>
    </row>
    <row r="789" customFormat="false" ht="12.75" hidden="false" customHeight="false" outlineLevel="0" collapsed="false">
      <c r="AF789" s="63"/>
    </row>
    <row r="790" customFormat="false" ht="12.75" hidden="false" customHeight="false" outlineLevel="0" collapsed="false">
      <c r="AF790" s="63"/>
    </row>
    <row r="791" customFormat="false" ht="12.75" hidden="false" customHeight="false" outlineLevel="0" collapsed="false">
      <c r="AF791" s="63"/>
    </row>
    <row r="792" customFormat="false" ht="12.75" hidden="false" customHeight="false" outlineLevel="0" collapsed="false">
      <c r="AF792" s="63"/>
    </row>
    <row r="793" customFormat="false" ht="12.75" hidden="false" customHeight="false" outlineLevel="0" collapsed="false">
      <c r="AF793" s="63"/>
    </row>
    <row r="794" customFormat="false" ht="12.75" hidden="false" customHeight="false" outlineLevel="0" collapsed="false">
      <c r="AF794" s="63"/>
    </row>
    <row r="795" customFormat="false" ht="12.75" hidden="false" customHeight="false" outlineLevel="0" collapsed="false">
      <c r="AF795" s="63"/>
    </row>
    <row r="796" customFormat="false" ht="12.75" hidden="false" customHeight="false" outlineLevel="0" collapsed="false">
      <c r="AF796" s="63"/>
    </row>
    <row r="797" customFormat="false" ht="12.75" hidden="false" customHeight="false" outlineLevel="0" collapsed="false">
      <c r="AF797" s="63"/>
    </row>
    <row r="798" customFormat="false" ht="12.75" hidden="false" customHeight="false" outlineLevel="0" collapsed="false">
      <c r="AF798" s="63"/>
    </row>
    <row r="799" customFormat="false" ht="12.75" hidden="false" customHeight="false" outlineLevel="0" collapsed="false">
      <c r="AF799" s="63"/>
    </row>
    <row r="800" customFormat="false" ht="12.75" hidden="false" customHeight="false" outlineLevel="0" collapsed="false">
      <c r="AF800" s="63"/>
    </row>
    <row r="801" customFormat="false" ht="12.75" hidden="false" customHeight="false" outlineLevel="0" collapsed="false">
      <c r="AF801" s="63"/>
    </row>
    <row r="802" customFormat="false" ht="12.75" hidden="false" customHeight="false" outlineLevel="0" collapsed="false">
      <c r="AF802" s="63"/>
    </row>
    <row r="803" customFormat="false" ht="12.75" hidden="false" customHeight="false" outlineLevel="0" collapsed="false">
      <c r="AF803" s="63"/>
    </row>
    <row r="804" customFormat="false" ht="12.75" hidden="false" customHeight="false" outlineLevel="0" collapsed="false">
      <c r="AF804" s="63"/>
    </row>
    <row r="805" customFormat="false" ht="12.75" hidden="false" customHeight="false" outlineLevel="0" collapsed="false">
      <c r="AF805" s="63"/>
    </row>
    <row r="806" customFormat="false" ht="12.75" hidden="false" customHeight="false" outlineLevel="0" collapsed="false">
      <c r="AF806" s="63"/>
    </row>
    <row r="807" customFormat="false" ht="12.75" hidden="false" customHeight="false" outlineLevel="0" collapsed="false">
      <c r="AF807" s="63"/>
    </row>
    <row r="808" customFormat="false" ht="12.75" hidden="false" customHeight="false" outlineLevel="0" collapsed="false">
      <c r="AF808" s="63"/>
    </row>
    <row r="809" customFormat="false" ht="12.75" hidden="false" customHeight="false" outlineLevel="0" collapsed="false">
      <c r="AF809" s="63"/>
    </row>
    <row r="810" customFormat="false" ht="12.75" hidden="false" customHeight="false" outlineLevel="0" collapsed="false">
      <c r="AF810" s="63"/>
    </row>
    <row r="811" customFormat="false" ht="12.75" hidden="false" customHeight="false" outlineLevel="0" collapsed="false">
      <c r="AF811" s="63"/>
    </row>
    <row r="812" customFormat="false" ht="12.75" hidden="false" customHeight="false" outlineLevel="0" collapsed="false">
      <c r="AF812" s="63"/>
    </row>
    <row r="813" customFormat="false" ht="12.75" hidden="false" customHeight="false" outlineLevel="0" collapsed="false">
      <c r="AF813" s="63"/>
    </row>
    <row r="814" customFormat="false" ht="12.75" hidden="false" customHeight="false" outlineLevel="0" collapsed="false">
      <c r="AF814" s="63"/>
    </row>
    <row r="815" customFormat="false" ht="12.75" hidden="false" customHeight="false" outlineLevel="0" collapsed="false">
      <c r="AF815" s="63"/>
    </row>
    <row r="816" customFormat="false" ht="12.75" hidden="false" customHeight="false" outlineLevel="0" collapsed="false">
      <c r="AF816" s="63"/>
    </row>
    <row r="817" customFormat="false" ht="12.75" hidden="false" customHeight="false" outlineLevel="0" collapsed="false">
      <c r="AF817" s="63"/>
    </row>
    <row r="818" customFormat="false" ht="12.75" hidden="false" customHeight="false" outlineLevel="0" collapsed="false">
      <c r="AF818" s="63"/>
    </row>
    <row r="819" customFormat="false" ht="12.75" hidden="false" customHeight="false" outlineLevel="0" collapsed="false">
      <c r="AF819" s="63"/>
    </row>
    <row r="820" customFormat="false" ht="12.75" hidden="false" customHeight="false" outlineLevel="0" collapsed="false">
      <c r="AF820" s="63"/>
    </row>
    <row r="821" customFormat="false" ht="12.75" hidden="false" customHeight="false" outlineLevel="0" collapsed="false">
      <c r="AF821" s="63"/>
    </row>
    <row r="822" customFormat="false" ht="12.75" hidden="false" customHeight="false" outlineLevel="0" collapsed="false">
      <c r="AF822" s="63"/>
    </row>
    <row r="823" customFormat="false" ht="12.75" hidden="false" customHeight="false" outlineLevel="0" collapsed="false">
      <c r="AF823" s="63"/>
    </row>
    <row r="824" customFormat="false" ht="12.75" hidden="false" customHeight="false" outlineLevel="0" collapsed="false">
      <c r="AF824" s="63"/>
    </row>
    <row r="825" customFormat="false" ht="12.75" hidden="false" customHeight="false" outlineLevel="0" collapsed="false">
      <c r="AF825" s="63"/>
    </row>
    <row r="826" customFormat="false" ht="12.75" hidden="false" customHeight="false" outlineLevel="0" collapsed="false">
      <c r="AF826" s="63"/>
    </row>
    <row r="827" customFormat="false" ht="12.75" hidden="false" customHeight="false" outlineLevel="0" collapsed="false">
      <c r="AF827" s="63"/>
    </row>
    <row r="828" customFormat="false" ht="12.75" hidden="false" customHeight="false" outlineLevel="0" collapsed="false">
      <c r="AF828" s="63"/>
    </row>
    <row r="829" customFormat="false" ht="12.75" hidden="false" customHeight="false" outlineLevel="0" collapsed="false">
      <c r="AF829" s="63"/>
    </row>
    <row r="830" customFormat="false" ht="12.75" hidden="false" customHeight="false" outlineLevel="0" collapsed="false">
      <c r="AF830" s="63"/>
    </row>
    <row r="831" customFormat="false" ht="12.75" hidden="false" customHeight="false" outlineLevel="0" collapsed="false">
      <c r="AF831" s="63"/>
    </row>
    <row r="832" customFormat="false" ht="12.75" hidden="false" customHeight="false" outlineLevel="0" collapsed="false">
      <c r="AF832" s="63"/>
    </row>
    <row r="833" customFormat="false" ht="12.75" hidden="false" customHeight="false" outlineLevel="0" collapsed="false">
      <c r="AF833" s="63"/>
    </row>
    <row r="834" customFormat="false" ht="12.75" hidden="false" customHeight="false" outlineLevel="0" collapsed="false">
      <c r="AF834" s="63"/>
    </row>
    <row r="835" customFormat="false" ht="12.75" hidden="false" customHeight="false" outlineLevel="0" collapsed="false">
      <c r="AF835" s="63"/>
    </row>
    <row r="836" customFormat="false" ht="12.75" hidden="false" customHeight="false" outlineLevel="0" collapsed="false">
      <c r="AF836" s="63"/>
    </row>
    <row r="837" customFormat="false" ht="12.75" hidden="false" customHeight="false" outlineLevel="0" collapsed="false">
      <c r="AF837" s="63"/>
    </row>
    <row r="838" customFormat="false" ht="12.75" hidden="false" customHeight="false" outlineLevel="0" collapsed="false">
      <c r="AF838" s="63"/>
    </row>
    <row r="839" customFormat="false" ht="12.75" hidden="false" customHeight="false" outlineLevel="0" collapsed="false">
      <c r="AF839" s="63"/>
    </row>
    <row r="840" customFormat="false" ht="12.75" hidden="false" customHeight="false" outlineLevel="0" collapsed="false">
      <c r="AF840" s="63"/>
    </row>
    <row r="841" customFormat="false" ht="12.75" hidden="false" customHeight="false" outlineLevel="0" collapsed="false">
      <c r="AF841" s="63"/>
    </row>
    <row r="842" customFormat="false" ht="12.75" hidden="false" customHeight="false" outlineLevel="0" collapsed="false">
      <c r="AF842" s="63"/>
    </row>
    <row r="843" customFormat="false" ht="12.75" hidden="false" customHeight="false" outlineLevel="0" collapsed="false">
      <c r="AF843" s="63"/>
    </row>
    <row r="844" customFormat="false" ht="12.75" hidden="false" customHeight="false" outlineLevel="0" collapsed="false">
      <c r="AF844" s="63"/>
    </row>
    <row r="845" customFormat="false" ht="12.75" hidden="false" customHeight="false" outlineLevel="0" collapsed="false">
      <c r="AF845" s="63"/>
    </row>
    <row r="846" customFormat="false" ht="12.75" hidden="false" customHeight="false" outlineLevel="0" collapsed="false">
      <c r="AF846" s="63"/>
    </row>
    <row r="847" customFormat="false" ht="12.75" hidden="false" customHeight="false" outlineLevel="0" collapsed="false">
      <c r="AF847" s="63"/>
    </row>
    <row r="848" customFormat="false" ht="12.75" hidden="false" customHeight="false" outlineLevel="0" collapsed="false">
      <c r="AF848" s="63"/>
    </row>
    <row r="849" customFormat="false" ht="12.75" hidden="false" customHeight="false" outlineLevel="0" collapsed="false">
      <c r="AF849" s="63"/>
    </row>
    <row r="850" customFormat="false" ht="12.75" hidden="false" customHeight="false" outlineLevel="0" collapsed="false">
      <c r="AF850" s="63"/>
    </row>
    <row r="851" customFormat="false" ht="12.75" hidden="false" customHeight="false" outlineLevel="0" collapsed="false">
      <c r="AF851" s="63"/>
    </row>
    <row r="852" customFormat="false" ht="12.75" hidden="false" customHeight="false" outlineLevel="0" collapsed="false">
      <c r="AF852" s="63"/>
    </row>
    <row r="853" customFormat="false" ht="12.75" hidden="false" customHeight="false" outlineLevel="0" collapsed="false">
      <c r="AF853" s="63"/>
    </row>
    <row r="854" customFormat="false" ht="12.75" hidden="false" customHeight="false" outlineLevel="0" collapsed="false">
      <c r="AF854" s="63"/>
    </row>
    <row r="855" customFormat="false" ht="12.75" hidden="false" customHeight="false" outlineLevel="0" collapsed="false">
      <c r="AF855" s="63"/>
    </row>
    <row r="856" customFormat="false" ht="12.75" hidden="false" customHeight="false" outlineLevel="0" collapsed="false">
      <c r="AF856" s="63"/>
    </row>
    <row r="857" customFormat="false" ht="12.75" hidden="false" customHeight="false" outlineLevel="0" collapsed="false">
      <c r="AF857" s="63"/>
    </row>
    <row r="858" customFormat="false" ht="12.75" hidden="false" customHeight="false" outlineLevel="0" collapsed="false">
      <c r="AF858" s="63"/>
    </row>
    <row r="859" customFormat="false" ht="12.75" hidden="false" customHeight="false" outlineLevel="0" collapsed="false">
      <c r="AF859" s="63"/>
    </row>
    <row r="860" customFormat="false" ht="12.75" hidden="false" customHeight="false" outlineLevel="0" collapsed="false">
      <c r="AF860" s="63"/>
    </row>
    <row r="861" customFormat="false" ht="12.75" hidden="false" customHeight="false" outlineLevel="0" collapsed="false">
      <c r="AF861" s="63"/>
    </row>
    <row r="862" customFormat="false" ht="12.75" hidden="false" customHeight="false" outlineLevel="0" collapsed="false">
      <c r="AF862" s="63"/>
    </row>
    <row r="863" customFormat="false" ht="12.75" hidden="false" customHeight="false" outlineLevel="0" collapsed="false">
      <c r="AF863" s="63"/>
    </row>
    <row r="864" customFormat="false" ht="12.75" hidden="false" customHeight="false" outlineLevel="0" collapsed="false">
      <c r="AF864" s="63"/>
    </row>
    <row r="865" customFormat="false" ht="12.75" hidden="false" customHeight="false" outlineLevel="0" collapsed="false">
      <c r="AF865" s="63"/>
    </row>
    <row r="866" customFormat="false" ht="12.75" hidden="false" customHeight="false" outlineLevel="0" collapsed="false">
      <c r="AF866" s="63"/>
    </row>
    <row r="867" customFormat="false" ht="12.75" hidden="false" customHeight="false" outlineLevel="0" collapsed="false">
      <c r="AF867" s="63"/>
    </row>
    <row r="868" customFormat="false" ht="12.75" hidden="false" customHeight="false" outlineLevel="0" collapsed="false">
      <c r="AF868" s="63"/>
    </row>
    <row r="869" customFormat="false" ht="12.75" hidden="false" customHeight="false" outlineLevel="0" collapsed="false">
      <c r="AF869" s="63"/>
    </row>
    <row r="870" customFormat="false" ht="12.75" hidden="false" customHeight="false" outlineLevel="0" collapsed="false">
      <c r="AF870" s="63"/>
    </row>
    <row r="871" customFormat="false" ht="12.75" hidden="false" customHeight="false" outlineLevel="0" collapsed="false">
      <c r="AF871" s="63"/>
    </row>
    <row r="872" customFormat="false" ht="12.75" hidden="false" customHeight="false" outlineLevel="0" collapsed="false">
      <c r="AF872" s="63"/>
    </row>
    <row r="873" customFormat="false" ht="12.75" hidden="false" customHeight="false" outlineLevel="0" collapsed="false">
      <c r="AF873" s="63"/>
    </row>
    <row r="874" customFormat="false" ht="12.75" hidden="false" customHeight="false" outlineLevel="0" collapsed="false">
      <c r="AF874" s="63"/>
    </row>
    <row r="875" customFormat="false" ht="12.75" hidden="false" customHeight="false" outlineLevel="0" collapsed="false">
      <c r="AF875" s="63"/>
    </row>
    <row r="876" customFormat="false" ht="12.75" hidden="false" customHeight="false" outlineLevel="0" collapsed="false">
      <c r="AF876" s="63"/>
    </row>
    <row r="877" customFormat="false" ht="12.75" hidden="false" customHeight="false" outlineLevel="0" collapsed="false">
      <c r="AF877" s="63"/>
    </row>
    <row r="878" customFormat="false" ht="12.75" hidden="false" customHeight="false" outlineLevel="0" collapsed="false">
      <c r="AF878" s="63"/>
    </row>
    <row r="879" customFormat="false" ht="12.75" hidden="false" customHeight="false" outlineLevel="0" collapsed="false">
      <c r="AF879" s="63"/>
    </row>
    <row r="880" customFormat="false" ht="12.75" hidden="false" customHeight="false" outlineLevel="0" collapsed="false">
      <c r="AF880" s="63"/>
    </row>
    <row r="881" customFormat="false" ht="12.75" hidden="false" customHeight="false" outlineLevel="0" collapsed="false">
      <c r="AF881" s="63"/>
    </row>
    <row r="882" customFormat="false" ht="12.75" hidden="false" customHeight="false" outlineLevel="0" collapsed="false">
      <c r="AF882" s="63"/>
    </row>
    <row r="883" customFormat="false" ht="12.75" hidden="false" customHeight="false" outlineLevel="0" collapsed="false">
      <c r="AF883" s="63"/>
    </row>
    <row r="884" customFormat="false" ht="12.75" hidden="false" customHeight="false" outlineLevel="0" collapsed="false">
      <c r="AF884" s="63"/>
    </row>
    <row r="885" customFormat="false" ht="12.75" hidden="false" customHeight="false" outlineLevel="0" collapsed="false">
      <c r="AF885" s="63"/>
    </row>
    <row r="886" customFormat="false" ht="12.75" hidden="false" customHeight="false" outlineLevel="0" collapsed="false">
      <c r="AF886" s="63"/>
    </row>
    <row r="887" customFormat="false" ht="12.75" hidden="false" customHeight="false" outlineLevel="0" collapsed="false">
      <c r="AF887" s="63"/>
    </row>
    <row r="888" customFormat="false" ht="12.75" hidden="false" customHeight="false" outlineLevel="0" collapsed="false">
      <c r="AF888" s="63"/>
    </row>
    <row r="889" customFormat="false" ht="12.75" hidden="false" customHeight="false" outlineLevel="0" collapsed="false">
      <c r="AF889" s="63"/>
    </row>
    <row r="890" customFormat="false" ht="12.75" hidden="false" customHeight="false" outlineLevel="0" collapsed="false">
      <c r="AF890" s="63"/>
    </row>
    <row r="891" customFormat="false" ht="12.75" hidden="false" customHeight="false" outlineLevel="0" collapsed="false">
      <c r="AF891" s="63"/>
    </row>
    <row r="892" customFormat="false" ht="12.75" hidden="false" customHeight="false" outlineLevel="0" collapsed="false">
      <c r="AF892" s="63"/>
    </row>
    <row r="893" customFormat="false" ht="12.75" hidden="false" customHeight="false" outlineLevel="0" collapsed="false">
      <c r="AF893" s="63"/>
    </row>
    <row r="894" customFormat="false" ht="12.75" hidden="false" customHeight="false" outlineLevel="0" collapsed="false">
      <c r="AF894" s="63"/>
    </row>
    <row r="895" customFormat="false" ht="12.75" hidden="false" customHeight="false" outlineLevel="0" collapsed="false">
      <c r="AF895" s="63"/>
    </row>
    <row r="896" customFormat="false" ht="12.75" hidden="false" customHeight="false" outlineLevel="0" collapsed="false">
      <c r="AF896" s="63"/>
    </row>
    <row r="897" customFormat="false" ht="12.75" hidden="false" customHeight="false" outlineLevel="0" collapsed="false">
      <c r="AF897" s="63"/>
    </row>
    <row r="898" customFormat="false" ht="12.75" hidden="false" customHeight="false" outlineLevel="0" collapsed="false">
      <c r="AF898" s="63"/>
    </row>
    <row r="899" customFormat="false" ht="12.75" hidden="false" customHeight="false" outlineLevel="0" collapsed="false">
      <c r="AF899" s="63"/>
    </row>
    <row r="900" customFormat="false" ht="12.75" hidden="false" customHeight="false" outlineLevel="0" collapsed="false">
      <c r="AF900" s="63"/>
    </row>
    <row r="901" customFormat="false" ht="12.75" hidden="false" customHeight="false" outlineLevel="0" collapsed="false">
      <c r="AF901" s="63"/>
    </row>
    <row r="902" customFormat="false" ht="12.75" hidden="false" customHeight="false" outlineLevel="0" collapsed="false">
      <c r="AF902" s="63"/>
    </row>
    <row r="903" customFormat="false" ht="12.75" hidden="false" customHeight="false" outlineLevel="0" collapsed="false">
      <c r="AF903" s="63"/>
    </row>
    <row r="904" customFormat="false" ht="12.75" hidden="false" customHeight="false" outlineLevel="0" collapsed="false">
      <c r="AF904" s="63"/>
    </row>
    <row r="905" customFormat="false" ht="12.75" hidden="false" customHeight="false" outlineLevel="0" collapsed="false">
      <c r="AF905" s="63"/>
    </row>
    <row r="906" customFormat="false" ht="12.75" hidden="false" customHeight="false" outlineLevel="0" collapsed="false">
      <c r="AF906" s="63"/>
    </row>
    <row r="907" customFormat="false" ht="12.75" hidden="false" customHeight="false" outlineLevel="0" collapsed="false">
      <c r="AF907" s="63"/>
    </row>
    <row r="908" customFormat="false" ht="12.75" hidden="false" customHeight="false" outlineLevel="0" collapsed="false">
      <c r="AF908" s="63"/>
    </row>
    <row r="909" customFormat="false" ht="12.75" hidden="false" customHeight="false" outlineLevel="0" collapsed="false">
      <c r="AF909" s="63"/>
    </row>
    <row r="910" customFormat="false" ht="12.75" hidden="false" customHeight="false" outlineLevel="0" collapsed="false">
      <c r="AF910" s="63"/>
    </row>
    <row r="911" customFormat="false" ht="12.75" hidden="false" customHeight="false" outlineLevel="0" collapsed="false">
      <c r="AF911" s="63"/>
    </row>
    <row r="912" customFormat="false" ht="12.75" hidden="false" customHeight="false" outlineLevel="0" collapsed="false">
      <c r="AF912" s="63"/>
    </row>
    <row r="913" customFormat="false" ht="12.75" hidden="false" customHeight="false" outlineLevel="0" collapsed="false">
      <c r="AF913" s="63"/>
    </row>
    <row r="914" customFormat="false" ht="12.75" hidden="false" customHeight="false" outlineLevel="0" collapsed="false">
      <c r="AF914" s="63"/>
    </row>
    <row r="915" customFormat="false" ht="12.75" hidden="false" customHeight="false" outlineLevel="0" collapsed="false">
      <c r="AF915" s="63"/>
    </row>
    <row r="916" customFormat="false" ht="12.75" hidden="false" customHeight="false" outlineLevel="0" collapsed="false">
      <c r="AF916" s="63"/>
    </row>
    <row r="917" customFormat="false" ht="12.75" hidden="false" customHeight="false" outlineLevel="0" collapsed="false">
      <c r="AF917" s="63"/>
    </row>
    <row r="918" customFormat="false" ht="12.75" hidden="false" customHeight="false" outlineLevel="0" collapsed="false">
      <c r="AF918" s="63"/>
    </row>
    <row r="919" customFormat="false" ht="12.75" hidden="false" customHeight="false" outlineLevel="0" collapsed="false">
      <c r="AF919" s="63"/>
    </row>
    <row r="920" customFormat="false" ht="12.75" hidden="false" customHeight="false" outlineLevel="0" collapsed="false">
      <c r="AF920" s="63"/>
    </row>
    <row r="921" customFormat="false" ht="12.75" hidden="false" customHeight="false" outlineLevel="0" collapsed="false">
      <c r="AF921" s="63"/>
    </row>
    <row r="922" customFormat="false" ht="12.75" hidden="false" customHeight="false" outlineLevel="0" collapsed="false">
      <c r="AF922" s="63"/>
    </row>
    <row r="923" customFormat="false" ht="12.75" hidden="false" customHeight="false" outlineLevel="0" collapsed="false">
      <c r="AF923" s="63"/>
    </row>
    <row r="924" customFormat="false" ht="12.75" hidden="false" customHeight="false" outlineLevel="0" collapsed="false">
      <c r="AF924" s="63"/>
    </row>
    <row r="925" customFormat="false" ht="12.75" hidden="false" customHeight="false" outlineLevel="0" collapsed="false">
      <c r="AF925" s="63"/>
    </row>
    <row r="926" customFormat="false" ht="12.75" hidden="false" customHeight="false" outlineLevel="0" collapsed="false">
      <c r="AF926" s="63"/>
    </row>
    <row r="927" customFormat="false" ht="12.75" hidden="false" customHeight="false" outlineLevel="0" collapsed="false">
      <c r="AF927" s="63"/>
    </row>
    <row r="928" customFormat="false" ht="12.75" hidden="false" customHeight="false" outlineLevel="0" collapsed="false">
      <c r="AF928" s="63"/>
    </row>
    <row r="929" customFormat="false" ht="12.75" hidden="false" customHeight="false" outlineLevel="0" collapsed="false">
      <c r="AF929" s="63"/>
    </row>
    <row r="930" customFormat="false" ht="12.75" hidden="false" customHeight="false" outlineLevel="0" collapsed="false">
      <c r="AF930" s="63"/>
    </row>
    <row r="931" customFormat="false" ht="12.75" hidden="false" customHeight="false" outlineLevel="0" collapsed="false">
      <c r="AF931" s="63"/>
    </row>
    <row r="932" customFormat="false" ht="12.75" hidden="false" customHeight="false" outlineLevel="0" collapsed="false">
      <c r="AF932" s="63"/>
    </row>
    <row r="933" customFormat="false" ht="12.75" hidden="false" customHeight="false" outlineLevel="0" collapsed="false">
      <c r="AF933" s="63"/>
    </row>
    <row r="934" customFormat="false" ht="12.75" hidden="false" customHeight="false" outlineLevel="0" collapsed="false">
      <c r="AF934" s="63"/>
    </row>
    <row r="935" customFormat="false" ht="12.75" hidden="false" customHeight="false" outlineLevel="0" collapsed="false">
      <c r="AF935" s="63"/>
    </row>
    <row r="936" customFormat="false" ht="12.75" hidden="false" customHeight="false" outlineLevel="0" collapsed="false">
      <c r="AF936" s="63"/>
    </row>
    <row r="937" customFormat="false" ht="12.75" hidden="false" customHeight="false" outlineLevel="0" collapsed="false">
      <c r="AF937" s="63"/>
    </row>
    <row r="938" customFormat="false" ht="12.75" hidden="false" customHeight="false" outlineLevel="0" collapsed="false">
      <c r="AF938" s="63"/>
    </row>
    <row r="939" customFormat="false" ht="12.75" hidden="false" customHeight="false" outlineLevel="0" collapsed="false">
      <c r="AF939" s="63"/>
    </row>
    <row r="940" customFormat="false" ht="12.75" hidden="false" customHeight="false" outlineLevel="0" collapsed="false">
      <c r="AF940" s="63"/>
    </row>
    <row r="941" customFormat="false" ht="12.75" hidden="false" customHeight="false" outlineLevel="0" collapsed="false">
      <c r="AF941" s="63"/>
    </row>
    <row r="942" customFormat="false" ht="12.75" hidden="false" customHeight="false" outlineLevel="0" collapsed="false">
      <c r="AF942" s="63"/>
    </row>
    <row r="943" customFormat="false" ht="12.75" hidden="false" customHeight="false" outlineLevel="0" collapsed="false">
      <c r="AF943" s="63"/>
    </row>
    <row r="944" customFormat="false" ht="12.75" hidden="false" customHeight="false" outlineLevel="0" collapsed="false">
      <c r="AF944" s="63"/>
    </row>
    <row r="945" customFormat="false" ht="12.75" hidden="false" customHeight="false" outlineLevel="0" collapsed="false">
      <c r="AF945" s="63"/>
    </row>
    <row r="946" customFormat="false" ht="12.75" hidden="false" customHeight="false" outlineLevel="0" collapsed="false">
      <c r="AF946" s="63"/>
    </row>
    <row r="947" customFormat="false" ht="12.75" hidden="false" customHeight="false" outlineLevel="0" collapsed="false">
      <c r="AF947" s="63"/>
    </row>
    <row r="948" customFormat="false" ht="12.75" hidden="false" customHeight="false" outlineLevel="0" collapsed="false">
      <c r="AF948" s="63"/>
    </row>
    <row r="949" customFormat="false" ht="12.75" hidden="false" customHeight="false" outlineLevel="0" collapsed="false">
      <c r="AF949" s="63"/>
    </row>
    <row r="950" customFormat="false" ht="12.75" hidden="false" customHeight="false" outlineLevel="0" collapsed="false">
      <c r="AF950" s="63"/>
    </row>
    <row r="951" customFormat="false" ht="12.75" hidden="false" customHeight="false" outlineLevel="0" collapsed="false">
      <c r="AF951" s="63"/>
    </row>
    <row r="952" customFormat="false" ht="12.75" hidden="false" customHeight="false" outlineLevel="0" collapsed="false">
      <c r="AF952" s="63"/>
    </row>
    <row r="953" customFormat="false" ht="12.75" hidden="false" customHeight="false" outlineLevel="0" collapsed="false">
      <c r="AF953" s="63"/>
    </row>
    <row r="954" customFormat="false" ht="12.75" hidden="false" customHeight="false" outlineLevel="0" collapsed="false">
      <c r="AF954" s="63"/>
    </row>
    <row r="955" customFormat="false" ht="12.75" hidden="false" customHeight="false" outlineLevel="0" collapsed="false">
      <c r="AF955" s="63"/>
    </row>
    <row r="956" customFormat="false" ht="12.75" hidden="false" customHeight="false" outlineLevel="0" collapsed="false">
      <c r="AF956" s="63"/>
    </row>
    <row r="957" customFormat="false" ht="12.75" hidden="false" customHeight="false" outlineLevel="0" collapsed="false">
      <c r="AF957" s="63"/>
    </row>
    <row r="958" customFormat="false" ht="12.75" hidden="false" customHeight="false" outlineLevel="0" collapsed="false">
      <c r="AF958" s="63"/>
    </row>
    <row r="959" customFormat="false" ht="12.75" hidden="false" customHeight="false" outlineLevel="0" collapsed="false">
      <c r="AF959" s="63"/>
    </row>
    <row r="960" customFormat="false" ht="12.75" hidden="false" customHeight="false" outlineLevel="0" collapsed="false">
      <c r="AF960" s="63"/>
    </row>
    <row r="961" customFormat="false" ht="12.75" hidden="false" customHeight="false" outlineLevel="0" collapsed="false">
      <c r="AF961" s="63"/>
    </row>
    <row r="962" customFormat="false" ht="12.75" hidden="false" customHeight="false" outlineLevel="0" collapsed="false">
      <c r="AF962" s="63"/>
    </row>
    <row r="963" customFormat="false" ht="12.75" hidden="false" customHeight="false" outlineLevel="0" collapsed="false">
      <c r="AF963" s="63"/>
    </row>
    <row r="964" customFormat="false" ht="12.75" hidden="false" customHeight="false" outlineLevel="0" collapsed="false">
      <c r="AF964" s="63"/>
    </row>
    <row r="965" customFormat="false" ht="12.75" hidden="false" customHeight="false" outlineLevel="0" collapsed="false">
      <c r="AF965" s="63"/>
    </row>
    <row r="966" customFormat="false" ht="12.75" hidden="false" customHeight="false" outlineLevel="0" collapsed="false">
      <c r="AF966" s="63"/>
    </row>
    <row r="967" customFormat="false" ht="12.75" hidden="false" customHeight="false" outlineLevel="0" collapsed="false">
      <c r="AF967" s="63"/>
    </row>
    <row r="968" customFormat="false" ht="12.75" hidden="false" customHeight="false" outlineLevel="0" collapsed="false">
      <c r="AF968" s="63"/>
    </row>
    <row r="969" customFormat="false" ht="12.75" hidden="false" customHeight="false" outlineLevel="0" collapsed="false">
      <c r="AF969" s="63"/>
    </row>
    <row r="970" customFormat="false" ht="12.75" hidden="false" customHeight="false" outlineLevel="0" collapsed="false">
      <c r="AF970" s="63"/>
    </row>
    <row r="971" customFormat="false" ht="12.75" hidden="false" customHeight="false" outlineLevel="0" collapsed="false">
      <c r="AF971" s="63"/>
    </row>
    <row r="972" customFormat="false" ht="12.75" hidden="false" customHeight="false" outlineLevel="0" collapsed="false">
      <c r="AF972" s="63"/>
    </row>
    <row r="973" customFormat="false" ht="12.75" hidden="false" customHeight="false" outlineLevel="0" collapsed="false">
      <c r="AF973" s="63"/>
    </row>
    <row r="974" customFormat="false" ht="12.75" hidden="false" customHeight="false" outlineLevel="0" collapsed="false">
      <c r="AF974" s="63"/>
    </row>
    <row r="975" customFormat="false" ht="12.75" hidden="false" customHeight="false" outlineLevel="0" collapsed="false">
      <c r="AF975" s="63"/>
    </row>
    <row r="976" customFormat="false" ht="12.75" hidden="false" customHeight="false" outlineLevel="0" collapsed="false">
      <c r="AF976" s="63"/>
    </row>
    <row r="977" customFormat="false" ht="12.75" hidden="false" customHeight="false" outlineLevel="0" collapsed="false">
      <c r="AF977" s="63"/>
    </row>
    <row r="978" customFormat="false" ht="12.75" hidden="false" customHeight="false" outlineLevel="0" collapsed="false">
      <c r="AF978" s="63"/>
    </row>
    <row r="979" customFormat="false" ht="12.75" hidden="false" customHeight="false" outlineLevel="0" collapsed="false">
      <c r="AF979" s="63"/>
    </row>
    <row r="980" customFormat="false" ht="12.75" hidden="false" customHeight="false" outlineLevel="0" collapsed="false">
      <c r="AF980" s="63"/>
    </row>
    <row r="981" customFormat="false" ht="12.75" hidden="false" customHeight="false" outlineLevel="0" collapsed="false">
      <c r="AF981" s="63"/>
    </row>
    <row r="982" customFormat="false" ht="12.75" hidden="false" customHeight="false" outlineLevel="0" collapsed="false">
      <c r="AF982" s="63"/>
    </row>
    <row r="983" customFormat="false" ht="12.75" hidden="false" customHeight="false" outlineLevel="0" collapsed="false">
      <c r="AF983" s="63"/>
    </row>
    <row r="984" customFormat="false" ht="12.75" hidden="false" customHeight="false" outlineLevel="0" collapsed="false">
      <c r="AF984" s="63"/>
    </row>
    <row r="985" customFormat="false" ht="12.75" hidden="false" customHeight="false" outlineLevel="0" collapsed="false">
      <c r="AF985" s="63"/>
    </row>
    <row r="986" customFormat="false" ht="12.75" hidden="false" customHeight="false" outlineLevel="0" collapsed="false">
      <c r="AF986" s="63"/>
    </row>
    <row r="987" customFormat="false" ht="12.75" hidden="false" customHeight="false" outlineLevel="0" collapsed="false">
      <c r="AF987" s="63"/>
    </row>
    <row r="988" customFormat="false" ht="12.75" hidden="false" customHeight="false" outlineLevel="0" collapsed="false">
      <c r="AF988" s="63"/>
    </row>
    <row r="989" customFormat="false" ht="12.75" hidden="false" customHeight="false" outlineLevel="0" collapsed="false">
      <c r="AF989" s="63"/>
    </row>
    <row r="990" customFormat="false" ht="12.75" hidden="false" customHeight="false" outlineLevel="0" collapsed="false">
      <c r="AF990" s="63"/>
    </row>
    <row r="991" customFormat="false" ht="12.75" hidden="false" customHeight="false" outlineLevel="0" collapsed="false">
      <c r="AF991" s="63"/>
    </row>
    <row r="992" customFormat="false" ht="12.75" hidden="false" customHeight="false" outlineLevel="0" collapsed="false">
      <c r="AF992" s="63"/>
    </row>
    <row r="993" customFormat="false" ht="12.75" hidden="false" customHeight="false" outlineLevel="0" collapsed="false">
      <c r="AF993" s="63"/>
    </row>
    <row r="994" customFormat="false" ht="12.75" hidden="false" customHeight="false" outlineLevel="0" collapsed="false">
      <c r="AF994" s="63"/>
    </row>
    <row r="995" customFormat="false" ht="12.75" hidden="false" customHeight="false" outlineLevel="0" collapsed="false">
      <c r="AF995" s="63"/>
    </row>
    <row r="996" customFormat="false" ht="12.75" hidden="false" customHeight="false" outlineLevel="0" collapsed="false">
      <c r="AF996" s="63"/>
    </row>
    <row r="997" customFormat="false" ht="12.75" hidden="false" customHeight="false" outlineLevel="0" collapsed="false">
      <c r="AF997" s="63"/>
    </row>
    <row r="998" customFormat="false" ht="12.75" hidden="false" customHeight="false" outlineLevel="0" collapsed="false">
      <c r="AF998" s="63"/>
    </row>
    <row r="999" customFormat="false" ht="12.75" hidden="false" customHeight="false" outlineLevel="0" collapsed="false">
      <c r="AF999" s="63"/>
    </row>
    <row r="1000" customFormat="false" ht="12.75" hidden="false" customHeight="false" outlineLevel="0" collapsed="false">
      <c r="AF1000" s="63"/>
    </row>
    <row r="1001" customFormat="false" ht="12.75" hidden="false" customHeight="false" outlineLevel="0" collapsed="false">
      <c r="AF1001" s="63"/>
    </row>
    <row r="1002" customFormat="false" ht="12.75" hidden="false" customHeight="false" outlineLevel="0" collapsed="false">
      <c r="AF1002" s="63"/>
    </row>
    <row r="1003" customFormat="false" ht="12.75" hidden="false" customHeight="false" outlineLevel="0" collapsed="false">
      <c r="AF1003" s="63"/>
    </row>
    <row r="1004" customFormat="false" ht="12.75" hidden="false" customHeight="false" outlineLevel="0" collapsed="false">
      <c r="AF1004" s="63"/>
    </row>
    <row r="1005" customFormat="false" ht="12.75" hidden="false" customHeight="false" outlineLevel="0" collapsed="false">
      <c r="AF1005" s="63"/>
    </row>
    <row r="1006" customFormat="false" ht="12.75" hidden="false" customHeight="false" outlineLevel="0" collapsed="false">
      <c r="AF1006" s="63"/>
    </row>
    <row r="1007" customFormat="false" ht="12.75" hidden="false" customHeight="false" outlineLevel="0" collapsed="false">
      <c r="AF1007" s="63"/>
    </row>
    <row r="1008" customFormat="false" ht="12.75" hidden="false" customHeight="false" outlineLevel="0" collapsed="false">
      <c r="AF1008" s="63"/>
    </row>
    <row r="1009" customFormat="false" ht="12.75" hidden="false" customHeight="false" outlineLevel="0" collapsed="false">
      <c r="AF1009" s="63"/>
    </row>
    <row r="1010" customFormat="false" ht="12.75" hidden="false" customHeight="false" outlineLevel="0" collapsed="false">
      <c r="AF1010" s="63"/>
    </row>
    <row r="1011" customFormat="false" ht="12.75" hidden="false" customHeight="false" outlineLevel="0" collapsed="false">
      <c r="AF1011" s="63"/>
    </row>
    <row r="1012" customFormat="false" ht="12.75" hidden="false" customHeight="false" outlineLevel="0" collapsed="false">
      <c r="AF1012" s="63"/>
    </row>
    <row r="1013" customFormat="false" ht="12.75" hidden="false" customHeight="false" outlineLevel="0" collapsed="false">
      <c r="AF1013" s="63"/>
    </row>
    <row r="1014" customFormat="false" ht="12.75" hidden="false" customHeight="false" outlineLevel="0" collapsed="false">
      <c r="AF1014" s="63"/>
    </row>
    <row r="1015" customFormat="false" ht="12.75" hidden="false" customHeight="false" outlineLevel="0" collapsed="false">
      <c r="AF1015" s="63"/>
    </row>
    <row r="1016" customFormat="false" ht="12.75" hidden="false" customHeight="false" outlineLevel="0" collapsed="false">
      <c r="AF1016" s="63"/>
    </row>
    <row r="1017" customFormat="false" ht="12.75" hidden="false" customHeight="false" outlineLevel="0" collapsed="false">
      <c r="AF1017" s="63"/>
    </row>
    <row r="1018" customFormat="false" ht="12.75" hidden="false" customHeight="false" outlineLevel="0" collapsed="false">
      <c r="AF1018" s="63"/>
    </row>
    <row r="1019" customFormat="false" ht="12.75" hidden="false" customHeight="false" outlineLevel="0" collapsed="false">
      <c r="AF1019" s="63"/>
    </row>
    <row r="1020" customFormat="false" ht="12.75" hidden="false" customHeight="false" outlineLevel="0" collapsed="false">
      <c r="AF1020" s="63"/>
    </row>
    <row r="1021" customFormat="false" ht="12.75" hidden="false" customHeight="false" outlineLevel="0" collapsed="false">
      <c r="AF1021" s="63"/>
    </row>
    <row r="1022" customFormat="false" ht="12.75" hidden="false" customHeight="false" outlineLevel="0" collapsed="false">
      <c r="AF1022" s="63"/>
    </row>
    <row r="1023" customFormat="false" ht="12.75" hidden="false" customHeight="false" outlineLevel="0" collapsed="false">
      <c r="AF1023" s="63"/>
    </row>
    <row r="1024" customFormat="false" ht="12.75" hidden="false" customHeight="false" outlineLevel="0" collapsed="false">
      <c r="AF1024" s="63"/>
    </row>
    <row r="1025" customFormat="false" ht="12.75" hidden="false" customHeight="false" outlineLevel="0" collapsed="false">
      <c r="AF1025" s="63"/>
    </row>
    <row r="1026" customFormat="false" ht="12.75" hidden="false" customHeight="false" outlineLevel="0" collapsed="false">
      <c r="AF1026" s="63"/>
    </row>
    <row r="1027" customFormat="false" ht="12.75" hidden="false" customHeight="false" outlineLevel="0" collapsed="false">
      <c r="AF1027" s="63"/>
    </row>
    <row r="1028" customFormat="false" ht="12.75" hidden="false" customHeight="false" outlineLevel="0" collapsed="false">
      <c r="AF1028" s="63"/>
    </row>
    <row r="1029" customFormat="false" ht="12.75" hidden="false" customHeight="false" outlineLevel="0" collapsed="false">
      <c r="AF1029" s="63"/>
    </row>
    <row r="1030" customFormat="false" ht="12.75" hidden="false" customHeight="false" outlineLevel="0" collapsed="false">
      <c r="AF1030" s="63"/>
    </row>
    <row r="1031" customFormat="false" ht="12.75" hidden="false" customHeight="false" outlineLevel="0" collapsed="false">
      <c r="AF1031" s="63"/>
    </row>
    <row r="1032" customFormat="false" ht="12.75" hidden="false" customHeight="false" outlineLevel="0" collapsed="false">
      <c r="AF1032" s="63"/>
    </row>
    <row r="1033" customFormat="false" ht="12.75" hidden="false" customHeight="false" outlineLevel="0" collapsed="false">
      <c r="AF1033" s="63"/>
    </row>
    <row r="1034" customFormat="false" ht="12.75" hidden="false" customHeight="false" outlineLevel="0" collapsed="false">
      <c r="AF1034" s="63"/>
    </row>
    <row r="1035" customFormat="false" ht="12.75" hidden="false" customHeight="false" outlineLevel="0" collapsed="false">
      <c r="AF1035" s="63"/>
    </row>
    <row r="1036" customFormat="false" ht="12.75" hidden="false" customHeight="false" outlineLevel="0" collapsed="false">
      <c r="AF1036" s="63"/>
    </row>
    <row r="1037" customFormat="false" ht="12.75" hidden="false" customHeight="false" outlineLevel="0" collapsed="false">
      <c r="AF1037" s="63"/>
    </row>
    <row r="1038" customFormat="false" ht="12.75" hidden="false" customHeight="false" outlineLevel="0" collapsed="false">
      <c r="AF1038" s="63"/>
    </row>
    <row r="1039" customFormat="false" ht="12.75" hidden="false" customHeight="false" outlineLevel="0" collapsed="false">
      <c r="AF1039" s="63"/>
    </row>
    <row r="1040" customFormat="false" ht="12.75" hidden="false" customHeight="false" outlineLevel="0" collapsed="false">
      <c r="AF1040" s="63"/>
    </row>
    <row r="1041" customFormat="false" ht="12.75" hidden="false" customHeight="false" outlineLevel="0" collapsed="false">
      <c r="AF1041" s="63"/>
    </row>
    <row r="1042" customFormat="false" ht="12.75" hidden="false" customHeight="false" outlineLevel="0" collapsed="false">
      <c r="AF1042" s="63"/>
    </row>
    <row r="1043" customFormat="false" ht="12.75" hidden="false" customHeight="false" outlineLevel="0" collapsed="false">
      <c r="AF1043" s="63"/>
    </row>
    <row r="1044" customFormat="false" ht="12.75" hidden="false" customHeight="false" outlineLevel="0" collapsed="false">
      <c r="AF1044" s="63"/>
    </row>
    <row r="1045" customFormat="false" ht="12.75" hidden="false" customHeight="false" outlineLevel="0" collapsed="false">
      <c r="AF1045" s="63"/>
    </row>
    <row r="1046" customFormat="false" ht="12.75" hidden="false" customHeight="false" outlineLevel="0" collapsed="false">
      <c r="AF1046" s="63"/>
    </row>
    <row r="1047" customFormat="false" ht="12.75" hidden="false" customHeight="false" outlineLevel="0" collapsed="false">
      <c r="AF1047" s="63"/>
    </row>
    <row r="1048" customFormat="false" ht="12.75" hidden="false" customHeight="false" outlineLevel="0" collapsed="false">
      <c r="AF1048" s="63"/>
    </row>
    <row r="1049" customFormat="false" ht="12.75" hidden="false" customHeight="false" outlineLevel="0" collapsed="false">
      <c r="AF1049" s="63"/>
    </row>
    <row r="1050" customFormat="false" ht="12.75" hidden="false" customHeight="false" outlineLevel="0" collapsed="false">
      <c r="AF1050" s="63"/>
    </row>
    <row r="1051" customFormat="false" ht="12.75" hidden="false" customHeight="false" outlineLevel="0" collapsed="false">
      <c r="AF1051" s="63"/>
    </row>
    <row r="1052" customFormat="false" ht="12.75" hidden="false" customHeight="false" outlineLevel="0" collapsed="false">
      <c r="AF1052" s="63"/>
    </row>
    <row r="1053" customFormat="false" ht="12.75" hidden="false" customHeight="false" outlineLevel="0" collapsed="false">
      <c r="AF1053" s="63"/>
    </row>
    <row r="1054" customFormat="false" ht="12.75" hidden="false" customHeight="false" outlineLevel="0" collapsed="false">
      <c r="AF1054" s="63"/>
    </row>
    <row r="1055" customFormat="false" ht="12.75" hidden="false" customHeight="false" outlineLevel="0" collapsed="false">
      <c r="AF1055" s="63"/>
    </row>
    <row r="1056" customFormat="false" ht="12.75" hidden="false" customHeight="false" outlineLevel="0" collapsed="false">
      <c r="AF1056" s="63"/>
    </row>
    <row r="1057" customFormat="false" ht="12.75" hidden="false" customHeight="false" outlineLevel="0" collapsed="false">
      <c r="AF1057" s="63"/>
    </row>
    <row r="1058" customFormat="false" ht="12.75" hidden="false" customHeight="false" outlineLevel="0" collapsed="false">
      <c r="AF1058" s="63"/>
    </row>
    <row r="1059" customFormat="false" ht="12.75" hidden="false" customHeight="false" outlineLevel="0" collapsed="false">
      <c r="AF1059" s="63"/>
    </row>
    <row r="1060" customFormat="false" ht="12.75" hidden="false" customHeight="false" outlineLevel="0" collapsed="false">
      <c r="AF1060" s="63"/>
    </row>
    <row r="1061" customFormat="false" ht="12.75" hidden="false" customHeight="false" outlineLevel="0" collapsed="false">
      <c r="AF1061" s="63"/>
    </row>
    <row r="1062" customFormat="false" ht="12.75" hidden="false" customHeight="false" outlineLevel="0" collapsed="false">
      <c r="AF1062" s="63"/>
    </row>
    <row r="1063" customFormat="false" ht="12.75" hidden="false" customHeight="false" outlineLevel="0" collapsed="false">
      <c r="AF1063" s="63"/>
    </row>
    <row r="1064" customFormat="false" ht="12.75" hidden="false" customHeight="false" outlineLevel="0" collapsed="false">
      <c r="AF1064" s="63"/>
    </row>
    <row r="1065" customFormat="false" ht="12.75" hidden="false" customHeight="false" outlineLevel="0" collapsed="false">
      <c r="AF1065" s="63"/>
    </row>
    <row r="1066" customFormat="false" ht="12.75" hidden="false" customHeight="false" outlineLevel="0" collapsed="false">
      <c r="AF1066" s="63"/>
    </row>
    <row r="1067" customFormat="false" ht="12.75" hidden="false" customHeight="false" outlineLevel="0" collapsed="false">
      <c r="AF1067" s="63"/>
    </row>
    <row r="1068" customFormat="false" ht="12.75" hidden="false" customHeight="false" outlineLevel="0" collapsed="false">
      <c r="AF1068" s="63"/>
    </row>
    <row r="1069" customFormat="false" ht="12.75" hidden="false" customHeight="false" outlineLevel="0" collapsed="false">
      <c r="AF1069" s="63"/>
    </row>
    <row r="1070" customFormat="false" ht="12.75" hidden="false" customHeight="false" outlineLevel="0" collapsed="false">
      <c r="AF1070" s="63"/>
    </row>
    <row r="1071" customFormat="false" ht="12.75" hidden="false" customHeight="false" outlineLevel="0" collapsed="false">
      <c r="AF1071" s="63"/>
    </row>
    <row r="1072" customFormat="false" ht="12.75" hidden="false" customHeight="false" outlineLevel="0" collapsed="false">
      <c r="AF1072" s="63"/>
    </row>
    <row r="1073" customFormat="false" ht="12.75" hidden="false" customHeight="false" outlineLevel="0" collapsed="false">
      <c r="AF1073" s="63"/>
    </row>
    <row r="1074" customFormat="false" ht="12.75" hidden="false" customHeight="false" outlineLevel="0" collapsed="false">
      <c r="AF1074" s="63"/>
    </row>
    <row r="1075" customFormat="false" ht="12.75" hidden="false" customHeight="false" outlineLevel="0" collapsed="false">
      <c r="AF1075" s="63"/>
    </row>
    <row r="1076" customFormat="false" ht="12.75" hidden="false" customHeight="false" outlineLevel="0" collapsed="false">
      <c r="AF1076" s="63"/>
    </row>
  </sheetData>
  <sheetProtection algorithmName="SHA-512" hashValue="9rXWoOstVfValw9k5OH7Mp6+knngvqY/ETQRBFFNlrXVi/lgckCiBzzFnfSOHA01RaHAUPoSXYhFRNTodvavVQ==" saltValue="Uo0wWCRJxUGEbx9uFkG88w==" spinCount="100000" sheet="true" objects="true" scenarios="true" autoFilter="false"/>
  <autoFilter ref="L15:L59"/>
  <mergeCells count="25">
    <mergeCell ref="O4:P4"/>
    <mergeCell ref="S4:X4"/>
    <mergeCell ref="O5:P5"/>
    <mergeCell ref="S5:X5"/>
    <mergeCell ref="AE5:AF5"/>
    <mergeCell ref="O7:P7"/>
    <mergeCell ref="S7:U7"/>
    <mergeCell ref="AJ7:AJ11"/>
    <mergeCell ref="AL7:AL11"/>
    <mergeCell ref="F8:K8"/>
    <mergeCell ref="L8:L12"/>
    <mergeCell ref="O8:P8"/>
    <mergeCell ref="S8:U8"/>
    <mergeCell ref="Y8:Y12"/>
    <mergeCell ref="Z8:Z12"/>
    <mergeCell ref="F9:K9"/>
    <mergeCell ref="F10:K10"/>
    <mergeCell ref="AA12:AB12"/>
    <mergeCell ref="O15:R15"/>
    <mergeCell ref="Q62:X62"/>
    <mergeCell ref="O65:X67"/>
    <mergeCell ref="O69:X69"/>
    <mergeCell ref="O70:X70"/>
    <mergeCell ref="O72:Q72"/>
    <mergeCell ref="O75:Q75"/>
  </mergeCells>
  <conditionalFormatting sqref="R50">
    <cfRule type="beginsWith" priority="2" operator="beginsWith" aboveAverage="0" equalAverage="0" bottom="0" percent="0" rank="0" text="(" dxfId="22">
      <formula>LEFT(R50,LEN("("))="("</formula>
    </cfRule>
  </conditionalFormatting>
  <conditionalFormatting sqref="R50">
    <cfRule type="expression" priority="3" aboveAverage="0" equalAverage="0" bottom="0" percent="0" rank="0" text="" dxfId="23">
      <formula>$C50=1</formula>
    </cfRule>
    <cfRule type="expression" priority="4" aboveAverage="0" equalAverage="0" bottom="0" percent="0" rank="0" text="" dxfId="24">
      <formula>OR($C50=0,$C50=2,$C50=3,$C50=4)</formula>
    </cfRule>
  </conditionalFormatting>
  <conditionalFormatting sqref="X50">
    <cfRule type="expression" priority="5" aboveAverage="0" equalAverage="0" bottom="0" percent="0" rank="0" text="" dxfId="25">
      <formula>$C50=1</formula>
    </cfRule>
    <cfRule type="expression" priority="6" aboveAverage="0" equalAverage="0" bottom="0" percent="0" rank="0" text="" dxfId="26">
      <formula>OR($C50=0,$C50=2,$C50=3,$C50=4)</formula>
    </cfRule>
  </conditionalFormatting>
  <conditionalFormatting sqref="M50">
    <cfRule type="cellIs" priority="7" operator="notEqual" aboveAverage="0" equalAverage="0" bottom="0" percent="0" rank="0" text="" dxfId="27">
      <formula>$N50</formula>
    </cfRule>
  </conditionalFormatting>
  <conditionalFormatting sqref="N50:O50 W50">
    <cfRule type="expression" priority="8" aboveAverage="0" equalAverage="0" bottom="0" percent="0" rank="0" text="" dxfId="28">
      <formula>$C50=1</formula>
    </cfRule>
    <cfRule type="expression" priority="9" aboveAverage="0" equalAverage="0" bottom="0" percent="0" rank="0" text="" dxfId="29">
      <formula>OR($C50=0,$C50=2,$C50=3,$C50=4)</formula>
    </cfRule>
  </conditionalFormatting>
  <conditionalFormatting sqref="U50:V50">
    <cfRule type="expression" priority="10" aboveAverage="0" equalAverage="0" bottom="0" percent="0" rank="0" text="" dxfId="30">
      <formula>$C50=1</formula>
    </cfRule>
    <cfRule type="expression" priority="11" aboveAverage="0" equalAverage="0" bottom="0" percent="0" rank="0" text="" dxfId="31">
      <formula>OR($C50=0,$C50=2,$C50=3,$C50=4)</formula>
    </cfRule>
    <cfRule type="expression" priority="12" aboveAverage="0" equalAverage="0" bottom="0" percent="0" rank="0" text="" dxfId="32">
      <formula>AND(TIPOORCAMENTO="Licitado",$C50&lt;&gt;"L",$C50&lt;&gt;-1)</formula>
    </cfRule>
  </conditionalFormatting>
  <conditionalFormatting sqref="P50:Q50 S50:T50 Y50 AG50:AH50">
    <cfRule type="expression" priority="13" aboveAverage="0" equalAverage="0" bottom="0" percent="0" rank="0" text="" dxfId="33">
      <formula>$C50=1</formula>
    </cfRule>
    <cfRule type="expression" priority="14" aboveAverage="0" equalAverage="0" bottom="0" percent="0" rank="0" text="" dxfId="34">
      <formula>OR($C50=0,$C50=2,$C50=3,$C50=4)</formula>
    </cfRule>
  </conditionalFormatting>
  <conditionalFormatting sqref="R49 R51">
    <cfRule type="beginsWith" priority="15" operator="beginsWith" aboveAverage="0" equalAverage="0" bottom="0" percent="0" rank="0" text="(" dxfId="35">
      <formula>LEFT(R49,LEN("("))="("</formula>
    </cfRule>
  </conditionalFormatting>
  <conditionalFormatting sqref="R49 R51">
    <cfRule type="expression" priority="16" aboveAverage="0" equalAverage="0" bottom="0" percent="0" rank="0" text="" dxfId="36">
      <formula>$C49=1</formula>
    </cfRule>
    <cfRule type="expression" priority="17" aboveAverage="0" equalAverage="0" bottom="0" percent="0" rank="0" text="" dxfId="37">
      <formula>OR($C49=0,$C49=2,$C49=3,$C49=4)</formula>
    </cfRule>
  </conditionalFormatting>
  <conditionalFormatting sqref="X49 X51">
    <cfRule type="expression" priority="18" aboveAverage="0" equalAverage="0" bottom="0" percent="0" rank="0" text="" dxfId="38">
      <formula>$C49=1</formula>
    </cfRule>
    <cfRule type="expression" priority="19" aboveAverage="0" equalAverage="0" bottom="0" percent="0" rank="0" text="" dxfId="39">
      <formula>OR($C49=0,$C49=2,$C49=3,$C49=4)</formula>
    </cfRule>
  </conditionalFormatting>
  <conditionalFormatting sqref="M49 M51">
    <cfRule type="cellIs" priority="20" operator="notEqual" aboveAverage="0" equalAverage="0" bottom="0" percent="0" rank="0" text="" dxfId="40">
      <formula>$N49</formula>
    </cfRule>
  </conditionalFormatting>
  <conditionalFormatting sqref="N49:O49 W49 W51 N51:O51">
    <cfRule type="expression" priority="21" aboveAverage="0" equalAverage="0" bottom="0" percent="0" rank="0" text="" dxfId="41">
      <formula>$C49=1</formula>
    </cfRule>
    <cfRule type="expression" priority="22" aboveAverage="0" equalAverage="0" bottom="0" percent="0" rank="0" text="" dxfId="42">
      <formula>OR($C49=0,$C49=2,$C49=3,$C49=4)</formula>
    </cfRule>
  </conditionalFormatting>
  <conditionalFormatting sqref="U49:V49 U51:V51">
    <cfRule type="expression" priority="23" aboveAverage="0" equalAverage="0" bottom="0" percent="0" rank="0" text="" dxfId="43">
      <formula>$C49=1</formula>
    </cfRule>
    <cfRule type="expression" priority="24" aboveAverage="0" equalAverage="0" bottom="0" percent="0" rank="0" text="" dxfId="44">
      <formula>OR($C49=0,$C49=2,$C49=3,$C49=4)</formula>
    </cfRule>
    <cfRule type="expression" priority="25" aboveAverage="0" equalAverage="0" bottom="0" percent="0" rank="0" text="" dxfId="45">
      <formula>AND(TIPOORCAMENTO="Licitado",$C49&lt;&gt;"L",$C49&lt;&gt;-1)</formula>
    </cfRule>
  </conditionalFormatting>
  <conditionalFormatting sqref="P49:Q49 S49:T49 Y49 AG49:AH49 AG51:AH51 Y51 S51:T51 P51:Q51">
    <cfRule type="expression" priority="26" aboveAverage="0" equalAverage="0" bottom="0" percent="0" rank="0" text="" dxfId="46">
      <formula>$C49=1</formula>
    </cfRule>
    <cfRule type="expression" priority="27" aboveAverage="0" equalAverage="0" bottom="0" percent="0" rank="0" text="" dxfId="47">
      <formula>OR($C49=0,$C49=2,$C49=3,$C49=4)</formula>
    </cfRule>
  </conditionalFormatting>
  <conditionalFormatting sqref="R38">
    <cfRule type="beginsWith" priority="28" operator="beginsWith" aboveAverage="0" equalAverage="0" bottom="0" percent="0" rank="0" text="(" dxfId="48">
      <formula>LEFT(R38,LEN("("))="("</formula>
    </cfRule>
  </conditionalFormatting>
  <conditionalFormatting sqref="R38">
    <cfRule type="expression" priority="29" aboveAverage="0" equalAverage="0" bottom="0" percent="0" rank="0" text="" dxfId="49">
      <formula>$C38=1</formula>
    </cfRule>
    <cfRule type="expression" priority="30" aboveAverage="0" equalAverage="0" bottom="0" percent="0" rank="0" text="" dxfId="50">
      <formula>OR($C38=0,$C38=2,$C38=3,$C38=4)</formula>
    </cfRule>
  </conditionalFormatting>
  <conditionalFormatting sqref="X38">
    <cfRule type="expression" priority="31" aboveAverage="0" equalAverage="0" bottom="0" percent="0" rank="0" text="" dxfId="51">
      <formula>$C38=1</formula>
    </cfRule>
    <cfRule type="expression" priority="32" aboveAverage="0" equalAverage="0" bottom="0" percent="0" rank="0" text="" dxfId="52">
      <formula>OR($C38=0,$C38=2,$C38=3,$C38=4)</formula>
    </cfRule>
  </conditionalFormatting>
  <conditionalFormatting sqref="R43:R48 R52:R54">
    <cfRule type="beginsWith" priority="33" operator="beginsWith" aboveAverage="0" equalAverage="0" bottom="0" percent="0" rank="0" text="(" dxfId="53">
      <formula>LEFT(R43,LEN("("))="("</formula>
    </cfRule>
  </conditionalFormatting>
  <conditionalFormatting sqref="R43:R48 R52:R54">
    <cfRule type="expression" priority="34" aboveAverage="0" equalAverage="0" bottom="0" percent="0" rank="0" text="" dxfId="54">
      <formula>$C43=1</formula>
    </cfRule>
    <cfRule type="expression" priority="35" aboveAverage="0" equalAverage="0" bottom="0" percent="0" rank="0" text="" dxfId="55">
      <formula>OR($C43=0,$C43=2,$C43=3,$C43=4)</formula>
    </cfRule>
  </conditionalFormatting>
  <conditionalFormatting sqref="X43:X48 X52:X54">
    <cfRule type="expression" priority="36" aboveAverage="0" equalAverage="0" bottom="0" percent="0" rank="0" text="" dxfId="56">
      <formula>$C43=1</formula>
    </cfRule>
    <cfRule type="expression" priority="37" aboveAverage="0" equalAverage="0" bottom="0" percent="0" rank="0" text="" dxfId="57">
      <formula>OR($C43=0,$C43=2,$C43=3,$C43=4)</formula>
    </cfRule>
  </conditionalFormatting>
  <conditionalFormatting sqref="M43:M48 M52:M54">
    <cfRule type="cellIs" priority="38" operator="notEqual" aboveAverage="0" equalAverage="0" bottom="0" percent="0" rank="0" text="" dxfId="58">
      <formula>$N43</formula>
    </cfRule>
  </conditionalFormatting>
  <conditionalFormatting sqref="N43:O48 W43:W48 W52:W54 N52:O54">
    <cfRule type="expression" priority="39" aboveAverage="0" equalAverage="0" bottom="0" percent="0" rank="0" text="" dxfId="59">
      <formula>$C43=1</formula>
    </cfRule>
    <cfRule type="expression" priority="40" aboveAverage="0" equalAverage="0" bottom="0" percent="0" rank="0" text="" dxfId="60">
      <formula>OR($C43=0,$C43=2,$C43=3,$C43=4)</formula>
    </cfRule>
  </conditionalFormatting>
  <conditionalFormatting sqref="U43:V48 U52:V54">
    <cfRule type="expression" priority="41" aboveAverage="0" equalAverage="0" bottom="0" percent="0" rank="0" text="" dxfId="61">
      <formula>$C43=1</formula>
    </cfRule>
    <cfRule type="expression" priority="42" aboveAverage="0" equalAverage="0" bottom="0" percent="0" rank="0" text="" dxfId="62">
      <formula>OR($C43=0,$C43=2,$C43=3,$C43=4)</formula>
    </cfRule>
    <cfRule type="expression" priority="43" aboveAverage="0" equalAverage="0" bottom="0" percent="0" rank="0" text="" dxfId="63">
      <formula>AND(TIPOORCAMENTO="Licitado",$C43&lt;&gt;"L",$C43&lt;&gt;-1)</formula>
    </cfRule>
  </conditionalFormatting>
  <conditionalFormatting sqref="P43:Q48 S43:T48 Y43:Y48 AG43:AH48 AG52:AH54 Y52:Y54 S52:T54 P52:Q54">
    <cfRule type="expression" priority="44" aboveAverage="0" equalAverage="0" bottom="0" percent="0" rank="0" text="" dxfId="64">
      <formula>$C43=1</formula>
    </cfRule>
    <cfRule type="expression" priority="45" aboveAverage="0" equalAverage="0" bottom="0" percent="0" rank="0" text="" dxfId="65">
      <formula>OR($C43=0,$C43=2,$C43=3,$C43=4)</formula>
    </cfRule>
  </conditionalFormatting>
  <conditionalFormatting sqref="R42">
    <cfRule type="beginsWith" priority="46" operator="beginsWith" aboveAverage="0" equalAverage="0" bottom="0" percent="0" rank="0" text="(" dxfId="66">
      <formula>LEFT(R42,LEN("("))="("</formula>
    </cfRule>
  </conditionalFormatting>
  <conditionalFormatting sqref="R42">
    <cfRule type="expression" priority="47" aboveAverage="0" equalAverage="0" bottom="0" percent="0" rank="0" text="" dxfId="67">
      <formula>$C42=1</formula>
    </cfRule>
    <cfRule type="expression" priority="48" aboveAverage="0" equalAverage="0" bottom="0" percent="0" rank="0" text="" dxfId="68">
      <formula>OR($C42=0,$C42=2,$C42=3,$C42=4)</formula>
    </cfRule>
  </conditionalFormatting>
  <conditionalFormatting sqref="X42">
    <cfRule type="expression" priority="49" aboveAverage="0" equalAverage="0" bottom="0" percent="0" rank="0" text="" dxfId="69">
      <formula>$C42=1</formula>
    </cfRule>
    <cfRule type="expression" priority="50" aboveAverage="0" equalAverage="0" bottom="0" percent="0" rank="0" text="" dxfId="70">
      <formula>OR($C42=0,$C42=2,$C42=3,$C42=4)</formula>
    </cfRule>
  </conditionalFormatting>
  <conditionalFormatting sqref="M42">
    <cfRule type="cellIs" priority="51" operator="notEqual" aboveAverage="0" equalAverage="0" bottom="0" percent="0" rank="0" text="" dxfId="71">
      <formula>$N42</formula>
    </cfRule>
  </conditionalFormatting>
  <conditionalFormatting sqref="N42:O42 W42">
    <cfRule type="expression" priority="52" aboveAverage="0" equalAverage="0" bottom="0" percent="0" rank="0" text="" dxfId="72">
      <formula>$C42=1</formula>
    </cfRule>
    <cfRule type="expression" priority="53" aboveAverage="0" equalAverage="0" bottom="0" percent="0" rank="0" text="" dxfId="73">
      <formula>OR($C42=0,$C42=2,$C42=3,$C42=4)</formula>
    </cfRule>
  </conditionalFormatting>
  <conditionalFormatting sqref="U42:V42">
    <cfRule type="expression" priority="54" aboveAverage="0" equalAverage="0" bottom="0" percent="0" rank="0" text="" dxfId="74">
      <formula>$C42=1</formula>
    </cfRule>
    <cfRule type="expression" priority="55" aboveAverage="0" equalAverage="0" bottom="0" percent="0" rank="0" text="" dxfId="75">
      <formula>OR($C42=0,$C42=2,$C42=3,$C42=4)</formula>
    </cfRule>
    <cfRule type="expression" priority="56" aboveAverage="0" equalAverage="0" bottom="0" percent="0" rank="0" text="" dxfId="76">
      <formula>AND(TIPOORCAMENTO="Licitado",$C42&lt;&gt;"L",$C42&lt;&gt;-1)</formula>
    </cfRule>
  </conditionalFormatting>
  <conditionalFormatting sqref="P42:Q42 S42:T42 Y42 AG42:AH42">
    <cfRule type="expression" priority="57" aboveAverage="0" equalAverage="0" bottom="0" percent="0" rank="0" text="" dxfId="77">
      <formula>$C42=1</formula>
    </cfRule>
    <cfRule type="expression" priority="58" aboveAverage="0" equalAverage="0" bottom="0" percent="0" rank="0" text="" dxfId="78">
      <formula>OR($C42=0,$C42=2,$C42=3,$C42=4)</formula>
    </cfRule>
  </conditionalFormatting>
  <conditionalFormatting sqref="R41">
    <cfRule type="beginsWith" priority="59" operator="beginsWith" aboveAverage="0" equalAverage="0" bottom="0" percent="0" rank="0" text="(" dxfId="79">
      <formula>LEFT(R41,LEN("("))="("</formula>
    </cfRule>
  </conditionalFormatting>
  <conditionalFormatting sqref="R41">
    <cfRule type="expression" priority="60" aboveAverage="0" equalAverage="0" bottom="0" percent="0" rank="0" text="" dxfId="80">
      <formula>$C41=1</formula>
    </cfRule>
    <cfRule type="expression" priority="61" aboveAverage="0" equalAverage="0" bottom="0" percent="0" rank="0" text="" dxfId="81">
      <formula>OR($C41=0,$C41=2,$C41=3,$C41=4)</formula>
    </cfRule>
  </conditionalFormatting>
  <conditionalFormatting sqref="X41">
    <cfRule type="expression" priority="62" aboveAverage="0" equalAverage="0" bottom="0" percent="0" rank="0" text="" dxfId="82">
      <formula>$C41=1</formula>
    </cfRule>
    <cfRule type="expression" priority="63" aboveAverage="0" equalAverage="0" bottom="0" percent="0" rank="0" text="" dxfId="83">
      <formula>OR($C41=0,$C41=2,$C41=3,$C41=4)</formula>
    </cfRule>
  </conditionalFormatting>
  <conditionalFormatting sqref="M41">
    <cfRule type="cellIs" priority="64" operator="notEqual" aboveAverage="0" equalAverage="0" bottom="0" percent="0" rank="0" text="" dxfId="84">
      <formula>$N41</formula>
    </cfRule>
  </conditionalFormatting>
  <conditionalFormatting sqref="N41:O41 W41">
    <cfRule type="expression" priority="65" aboveAverage="0" equalAverage="0" bottom="0" percent="0" rank="0" text="" dxfId="85">
      <formula>$C41=1</formula>
    </cfRule>
    <cfRule type="expression" priority="66" aboveAverage="0" equalAverage="0" bottom="0" percent="0" rank="0" text="" dxfId="86">
      <formula>OR($C41=0,$C41=2,$C41=3,$C41=4)</formula>
    </cfRule>
  </conditionalFormatting>
  <conditionalFormatting sqref="U41:V41">
    <cfRule type="expression" priority="67" aboveAverage="0" equalAverage="0" bottom="0" percent="0" rank="0" text="" dxfId="87">
      <formula>$C41=1</formula>
    </cfRule>
    <cfRule type="expression" priority="68" aboveAverage="0" equalAverage="0" bottom="0" percent="0" rank="0" text="" dxfId="88">
      <formula>OR($C41=0,$C41=2,$C41=3,$C41=4)</formula>
    </cfRule>
    <cfRule type="expression" priority="69" aboveAverage="0" equalAverage="0" bottom="0" percent="0" rank="0" text="" dxfId="89">
      <formula>AND(TIPOORCAMENTO="Licitado",$C41&lt;&gt;"L",$C41&lt;&gt;-1)</formula>
    </cfRule>
  </conditionalFormatting>
  <conditionalFormatting sqref="P41:Q41 S41:T41 Y41 AG41:AH41">
    <cfRule type="expression" priority="70" aboveAverage="0" equalAverage="0" bottom="0" percent="0" rank="0" text="" dxfId="90">
      <formula>$C41=1</formula>
    </cfRule>
    <cfRule type="expression" priority="71" aboveAverage="0" equalAverage="0" bottom="0" percent="0" rank="0" text="" dxfId="91">
      <formula>OR($C41=0,$C41=2,$C41=3,$C41=4)</formula>
    </cfRule>
  </conditionalFormatting>
  <conditionalFormatting sqref="R55">
    <cfRule type="beginsWith" priority="72" operator="beginsWith" aboveAverage="0" equalAverage="0" bottom="0" percent="0" rank="0" text="(" dxfId="92">
      <formula>LEFT(R55,LEN("("))="("</formula>
    </cfRule>
  </conditionalFormatting>
  <conditionalFormatting sqref="R55">
    <cfRule type="expression" priority="73" aboveAverage="0" equalAverage="0" bottom="0" percent="0" rank="0" text="" dxfId="93">
      <formula>$C55=1</formula>
    </cfRule>
    <cfRule type="expression" priority="74" aboveAverage="0" equalAverage="0" bottom="0" percent="0" rank="0" text="" dxfId="94">
      <formula>OR($C55=0,$C55=2,$C55=3,$C55=4)</formula>
    </cfRule>
  </conditionalFormatting>
  <conditionalFormatting sqref="X55">
    <cfRule type="expression" priority="75" aboveAverage="0" equalAverage="0" bottom="0" percent="0" rank="0" text="" dxfId="95">
      <formula>$C55=1</formula>
    </cfRule>
    <cfRule type="expression" priority="76" aboveAverage="0" equalAverage="0" bottom="0" percent="0" rank="0" text="" dxfId="96">
      <formula>OR($C55=0,$C55=2,$C55=3,$C55=4)</formula>
    </cfRule>
  </conditionalFormatting>
  <conditionalFormatting sqref="M55">
    <cfRule type="cellIs" priority="77" operator="notEqual" aboveAverage="0" equalAverage="0" bottom="0" percent="0" rank="0" text="" dxfId="97">
      <formula>$N55</formula>
    </cfRule>
  </conditionalFormatting>
  <conditionalFormatting sqref="N55:O55 W55">
    <cfRule type="expression" priority="78" aboveAverage="0" equalAverage="0" bottom="0" percent="0" rank="0" text="" dxfId="98">
      <formula>$C55=1</formula>
    </cfRule>
    <cfRule type="expression" priority="79" aboveAverage="0" equalAverage="0" bottom="0" percent="0" rank="0" text="" dxfId="99">
      <formula>OR($C55=0,$C55=2,$C55=3,$C55=4)</formula>
    </cfRule>
  </conditionalFormatting>
  <conditionalFormatting sqref="U55:V55">
    <cfRule type="expression" priority="80" aboveAverage="0" equalAverage="0" bottom="0" percent="0" rank="0" text="" dxfId="100">
      <formula>$C55=1</formula>
    </cfRule>
    <cfRule type="expression" priority="81" aboveAverage="0" equalAverage="0" bottom="0" percent="0" rank="0" text="" dxfId="101">
      <formula>OR($C55=0,$C55=2,$C55=3,$C55=4)</formula>
    </cfRule>
    <cfRule type="expression" priority="82" aboveAverage="0" equalAverage="0" bottom="0" percent="0" rank="0" text="" dxfId="102">
      <formula>AND(TIPOORCAMENTO="Licitado",$C55&lt;&gt;"L",$C55&lt;&gt;-1)</formula>
    </cfRule>
  </conditionalFormatting>
  <conditionalFormatting sqref="P55:Q55 S55:T55 Y55 AG55:AH55">
    <cfRule type="expression" priority="83" aboveAverage="0" equalAverage="0" bottom="0" percent="0" rank="0" text="" dxfId="103">
      <formula>$C55=1</formula>
    </cfRule>
    <cfRule type="expression" priority="84" aboveAverage="0" equalAverage="0" bottom="0" percent="0" rank="0" text="" dxfId="104">
      <formula>OR($C55=0,$C55=2,$C55=3,$C55=4)</formula>
    </cfRule>
  </conditionalFormatting>
  <conditionalFormatting sqref="R37">
    <cfRule type="beginsWith" priority="85" operator="beginsWith" aboveAverage="0" equalAverage="0" bottom="0" percent="0" rank="0" text="(" dxfId="105">
      <formula>LEFT(R37,LEN("("))="("</formula>
    </cfRule>
  </conditionalFormatting>
  <conditionalFormatting sqref="R37">
    <cfRule type="expression" priority="86" aboveAverage="0" equalAverage="0" bottom="0" percent="0" rank="0" text="" dxfId="106">
      <formula>$C37=1</formula>
    </cfRule>
    <cfRule type="expression" priority="87" aboveAverage="0" equalAverage="0" bottom="0" percent="0" rank="0" text="" dxfId="107">
      <formula>OR($C37=0,$C37=2,$C37=3,$C37=4)</formula>
    </cfRule>
  </conditionalFormatting>
  <conditionalFormatting sqref="X37">
    <cfRule type="expression" priority="88" aboveAverage="0" equalAverage="0" bottom="0" percent="0" rank="0" text="" dxfId="108">
      <formula>$C37=1</formula>
    </cfRule>
    <cfRule type="expression" priority="89" aboveAverage="0" equalAverage="0" bottom="0" percent="0" rank="0" text="" dxfId="109">
      <formula>OR($C37=0,$C37=2,$C37=3,$C37=4)</formula>
    </cfRule>
  </conditionalFormatting>
  <conditionalFormatting sqref="R40">
    <cfRule type="beginsWith" priority="90" operator="beginsWith" aboveAverage="0" equalAverage="0" bottom="0" percent="0" rank="0" text="(" dxfId="110">
      <formula>LEFT(R40,LEN("("))="("</formula>
    </cfRule>
  </conditionalFormatting>
  <conditionalFormatting sqref="R40">
    <cfRule type="expression" priority="91" aboveAverage="0" equalAverage="0" bottom="0" percent="0" rank="0" text="" dxfId="111">
      <formula>$C40=1</formula>
    </cfRule>
    <cfRule type="expression" priority="92" aboveAverage="0" equalAverage="0" bottom="0" percent="0" rank="0" text="" dxfId="112">
      <formula>OR($C40=0,$C40=2,$C40=3,$C40=4)</formula>
    </cfRule>
  </conditionalFormatting>
  <conditionalFormatting sqref="X40">
    <cfRule type="expression" priority="93" aboveAverage="0" equalAverage="0" bottom="0" percent="0" rank="0" text="" dxfId="113">
      <formula>$C40=1</formula>
    </cfRule>
    <cfRule type="expression" priority="94" aboveAverage="0" equalAverage="0" bottom="0" percent="0" rank="0" text="" dxfId="114">
      <formula>OR($C40=0,$C40=2,$C40=3,$C40=4)</formula>
    </cfRule>
  </conditionalFormatting>
  <conditionalFormatting sqref="M40">
    <cfRule type="cellIs" priority="95" operator="notEqual" aboveAverage="0" equalAverage="0" bottom="0" percent="0" rank="0" text="" dxfId="115">
      <formula>$N40</formula>
    </cfRule>
  </conditionalFormatting>
  <conditionalFormatting sqref="N40:O40 W40">
    <cfRule type="expression" priority="96" aboveAverage="0" equalAverage="0" bottom="0" percent="0" rank="0" text="" dxfId="116">
      <formula>$C40=1</formula>
    </cfRule>
    <cfRule type="expression" priority="97" aboveAverage="0" equalAverage="0" bottom="0" percent="0" rank="0" text="" dxfId="117">
      <formula>OR($C40=0,$C40=2,$C40=3,$C40=4)</formula>
    </cfRule>
  </conditionalFormatting>
  <conditionalFormatting sqref="U40:V40">
    <cfRule type="expression" priority="98" aboveAverage="0" equalAverage="0" bottom="0" percent="0" rank="0" text="" dxfId="118">
      <formula>$C40=1</formula>
    </cfRule>
    <cfRule type="expression" priority="99" aboveAverage="0" equalAverage="0" bottom="0" percent="0" rank="0" text="" dxfId="119">
      <formula>OR($C40=0,$C40=2,$C40=3,$C40=4)</formula>
    </cfRule>
    <cfRule type="expression" priority="100" aboveAverage="0" equalAverage="0" bottom="0" percent="0" rank="0" text="" dxfId="120">
      <formula>AND(TIPOORCAMENTO="Licitado",$C40&lt;&gt;"L",$C40&lt;&gt;-1)</formula>
    </cfRule>
  </conditionalFormatting>
  <conditionalFormatting sqref="P40:Q40 S40:T40 Y40 AG40:AH40">
    <cfRule type="expression" priority="101" aboveAverage="0" equalAverage="0" bottom="0" percent="0" rank="0" text="" dxfId="121">
      <formula>$C40=1</formula>
    </cfRule>
    <cfRule type="expression" priority="102" aboveAverage="0" equalAverage="0" bottom="0" percent="0" rank="0" text="" dxfId="122">
      <formula>OR($C40=0,$C40=2,$C40=3,$C40=4)</formula>
    </cfRule>
  </conditionalFormatting>
  <conditionalFormatting sqref="R32:R34 R39 R56:R58">
    <cfRule type="beginsWith" priority="103" operator="beginsWith" aboveAverage="0" equalAverage="0" bottom="0" percent="0" rank="0" text="(" dxfId="123">
      <formula>LEFT(R32,LEN("("))="("</formula>
    </cfRule>
  </conditionalFormatting>
  <conditionalFormatting sqref="R32:R34 R39 R56:R58">
    <cfRule type="expression" priority="104" aboveAverage="0" equalAverage="0" bottom="0" percent="0" rank="0" text="" dxfId="124">
      <formula>$C32=1</formula>
    </cfRule>
    <cfRule type="expression" priority="105" aboveAverage="0" equalAverage="0" bottom="0" percent="0" rank="0" text="" dxfId="125">
      <formula>OR($C32=0,$C32=2,$C32=3,$C32=4)</formula>
    </cfRule>
  </conditionalFormatting>
  <conditionalFormatting sqref="X32:X34 X39 X56:X58">
    <cfRule type="expression" priority="106" aboveAverage="0" equalAverage="0" bottom="0" percent="0" rank="0" text="" dxfId="126">
      <formula>$C32=1</formula>
    </cfRule>
    <cfRule type="expression" priority="107" aboveAverage="0" equalAverage="0" bottom="0" percent="0" rank="0" text="" dxfId="127">
      <formula>OR($C32=0,$C32=2,$C32=3,$C32=4)</formula>
    </cfRule>
  </conditionalFormatting>
  <conditionalFormatting sqref="M32:M34 M39 M56:M58">
    <cfRule type="cellIs" priority="108" operator="notEqual" aboveAverage="0" equalAverage="0" bottom="0" percent="0" rank="0" text="" dxfId="128">
      <formula>$N32</formula>
    </cfRule>
  </conditionalFormatting>
  <conditionalFormatting sqref="N32:O34 W32:W34 W39 N39:O39 N56:O58 W56:W58">
    <cfRule type="expression" priority="109" aboveAverage="0" equalAverage="0" bottom="0" percent="0" rank="0" text="" dxfId="129">
      <formula>$C32=1</formula>
    </cfRule>
    <cfRule type="expression" priority="110" aboveAverage="0" equalAverage="0" bottom="0" percent="0" rank="0" text="" dxfId="130">
      <formula>OR($C32=0,$C32=2,$C32=3,$C32=4)</formula>
    </cfRule>
  </conditionalFormatting>
  <conditionalFormatting sqref="U32:V34 U39:V39 U56:V58">
    <cfRule type="expression" priority="111" aboveAverage="0" equalAverage="0" bottom="0" percent="0" rank="0" text="" dxfId="131">
      <formula>$C32=1</formula>
    </cfRule>
    <cfRule type="expression" priority="112" aboveAverage="0" equalAverage="0" bottom="0" percent="0" rank="0" text="" dxfId="132">
      <formula>OR($C32=0,$C32=2,$C32=3,$C32=4)</formula>
    </cfRule>
    <cfRule type="expression" priority="113" aboveAverage="0" equalAverage="0" bottom="0" percent="0" rank="0" text="" dxfId="133">
      <formula>AND(TIPOORCAMENTO="Licitado",$C32&lt;&gt;"L",$C32&lt;&gt;-1)</formula>
    </cfRule>
  </conditionalFormatting>
  <conditionalFormatting sqref="P32:Q34 S32:T34 Y32:Y34 AG32:AH34 AG39:AH39 Y39 S39:T39 P39:Q39 P56:Q58 S56:T58 Y56:Y58 AG56:AH58">
    <cfRule type="expression" priority="114" aboveAverage="0" equalAverage="0" bottom="0" percent="0" rank="0" text="" dxfId="134">
      <formula>$C32=1</formula>
    </cfRule>
    <cfRule type="expression" priority="115" aboveAverage="0" equalAverage="0" bottom="0" percent="0" rank="0" text="" dxfId="135">
      <formula>OR($C32=0,$C32=2,$C32=3,$C32=4)</formula>
    </cfRule>
  </conditionalFormatting>
  <conditionalFormatting sqref="R21">
    <cfRule type="beginsWith" priority="116" operator="beginsWith" aboveAverage="0" equalAverage="0" bottom="0" percent="0" rank="0" text="(" dxfId="136">
      <formula>LEFT(R21,LEN("("))="("</formula>
    </cfRule>
  </conditionalFormatting>
  <conditionalFormatting sqref="R21">
    <cfRule type="expression" priority="117" aboveAverage="0" equalAverage="0" bottom="0" percent="0" rank="0" text="" dxfId="137">
      <formula>$C21=1</formula>
    </cfRule>
    <cfRule type="expression" priority="118" aboveAverage="0" equalAverage="0" bottom="0" percent="0" rank="0" text="" dxfId="138">
      <formula>OR($C21=0,$C21=2,$C21=3,$C21=4)</formula>
    </cfRule>
  </conditionalFormatting>
  <conditionalFormatting sqref="X21">
    <cfRule type="expression" priority="119" aboveAverage="0" equalAverage="0" bottom="0" percent="0" rank="0" text="" dxfId="139">
      <formula>$C21=1</formula>
    </cfRule>
    <cfRule type="expression" priority="120" aboveAverage="0" equalAverage="0" bottom="0" percent="0" rank="0" text="" dxfId="140">
      <formula>OR($C21=0,$C21=2,$C21=3,$C21=4)</formula>
    </cfRule>
  </conditionalFormatting>
  <conditionalFormatting sqref="M21">
    <cfRule type="cellIs" priority="121" operator="notEqual" aboveAverage="0" equalAverage="0" bottom="0" percent="0" rank="0" text="" dxfId="141">
      <formula>$N21</formula>
    </cfRule>
  </conditionalFormatting>
  <conditionalFormatting sqref="N21:O21 W21">
    <cfRule type="expression" priority="122" aboveAverage="0" equalAverage="0" bottom="0" percent="0" rank="0" text="" dxfId="142">
      <formula>$C21=1</formula>
    </cfRule>
    <cfRule type="expression" priority="123" aboveAverage="0" equalAverage="0" bottom="0" percent="0" rank="0" text="" dxfId="143">
      <formula>OR($C21=0,$C21=2,$C21=3,$C21=4)</formula>
    </cfRule>
  </conditionalFormatting>
  <conditionalFormatting sqref="U21:V21">
    <cfRule type="expression" priority="124" aboveAverage="0" equalAverage="0" bottom="0" percent="0" rank="0" text="" dxfId="144">
      <formula>$C21=1</formula>
    </cfRule>
    <cfRule type="expression" priority="125" aboveAverage="0" equalAverage="0" bottom="0" percent="0" rank="0" text="" dxfId="145">
      <formula>OR($C21=0,$C21=2,$C21=3,$C21=4)</formula>
    </cfRule>
    <cfRule type="expression" priority="126" aboveAverage="0" equalAverage="0" bottom="0" percent="0" rank="0" text="" dxfId="146">
      <formula>AND(TIPOORCAMENTO="Licitado",$C21&lt;&gt;"L",$C21&lt;&gt;-1)</formula>
    </cfRule>
  </conditionalFormatting>
  <conditionalFormatting sqref="P21:Q21 S21:T21 Y21 AG21:AH21">
    <cfRule type="expression" priority="127" aboveAverage="0" equalAverage="0" bottom="0" percent="0" rank="0" text="" dxfId="147">
      <formula>$C21=1</formula>
    </cfRule>
    <cfRule type="expression" priority="128" aboveAverage="0" equalAverage="0" bottom="0" percent="0" rank="0" text="" dxfId="148">
      <formula>OR($C21=0,$C21=2,$C21=3,$C21=4)</formula>
    </cfRule>
  </conditionalFormatting>
  <conditionalFormatting sqref="R24:R25">
    <cfRule type="beginsWith" priority="129" operator="beginsWith" aboveAverage="0" equalAverage="0" bottom="0" percent="0" rank="0" text="(" dxfId="149">
      <formula>LEFT(R24,LEN("("))="("</formula>
    </cfRule>
  </conditionalFormatting>
  <conditionalFormatting sqref="R24:R25">
    <cfRule type="expression" priority="130" aboveAverage="0" equalAverage="0" bottom="0" percent="0" rank="0" text="" dxfId="150">
      <formula>$C24=1</formula>
    </cfRule>
    <cfRule type="expression" priority="131" aboveAverage="0" equalAverage="0" bottom="0" percent="0" rank="0" text="" dxfId="151">
      <formula>OR($C24=0,$C24=2,$C24=3,$C24=4)</formula>
    </cfRule>
  </conditionalFormatting>
  <conditionalFormatting sqref="X24:X25">
    <cfRule type="expression" priority="132" aboveAverage="0" equalAverage="0" bottom="0" percent="0" rank="0" text="" dxfId="152">
      <formula>$C24=1</formula>
    </cfRule>
    <cfRule type="expression" priority="133" aboveAverage="0" equalAverage="0" bottom="0" percent="0" rank="0" text="" dxfId="153">
      <formula>OR($C24=0,$C24=2,$C24=3,$C24=4)</formula>
    </cfRule>
  </conditionalFormatting>
  <conditionalFormatting sqref="M24:M25">
    <cfRule type="cellIs" priority="134" operator="notEqual" aboveAverage="0" equalAverage="0" bottom="0" percent="0" rank="0" text="" dxfId="154">
      <formula>$N24</formula>
    </cfRule>
  </conditionalFormatting>
  <conditionalFormatting sqref="N24:O25 W24:W25">
    <cfRule type="expression" priority="135" aboveAverage="0" equalAverage="0" bottom="0" percent="0" rank="0" text="" dxfId="155">
      <formula>$C24=1</formula>
    </cfRule>
    <cfRule type="expression" priority="136" aboveAverage="0" equalAverage="0" bottom="0" percent="0" rank="0" text="" dxfId="156">
      <formula>OR($C24=0,$C24=2,$C24=3,$C24=4)</formula>
    </cfRule>
  </conditionalFormatting>
  <conditionalFormatting sqref="U24:V25">
    <cfRule type="expression" priority="137" aboveAverage="0" equalAverage="0" bottom="0" percent="0" rank="0" text="" dxfId="157">
      <formula>$C24=1</formula>
    </cfRule>
    <cfRule type="expression" priority="138" aboveAverage="0" equalAverage="0" bottom="0" percent="0" rank="0" text="" dxfId="158">
      <formula>OR($C24=0,$C24=2,$C24=3,$C24=4)</formula>
    </cfRule>
    <cfRule type="expression" priority="139" aboveAverage="0" equalAverage="0" bottom="0" percent="0" rank="0" text="" dxfId="159">
      <formula>AND(TIPOORCAMENTO="Licitado",$C24&lt;&gt;"L",$C24&lt;&gt;-1)</formula>
    </cfRule>
  </conditionalFormatting>
  <conditionalFormatting sqref="P24:Q25 S24:T25 Y24:Y25 AG24:AH25">
    <cfRule type="expression" priority="140" aboveAverage="0" equalAverage="0" bottom="0" percent="0" rank="0" text="" dxfId="160">
      <formula>$C24=1</formula>
    </cfRule>
    <cfRule type="expression" priority="141" aboveAverage="0" equalAverage="0" bottom="0" percent="0" rank="0" text="" dxfId="161">
      <formula>OR($C24=0,$C24=2,$C24=3,$C24=4)</formula>
    </cfRule>
  </conditionalFormatting>
  <conditionalFormatting sqref="R16:R20 R26:R27 R22:R23">
    <cfRule type="beginsWith" priority="142" operator="beginsWith" aboveAverage="0" equalAverage="0" bottom="0" percent="0" rank="0" text="(" dxfId="162">
      <formula>LEFT(R16,LEN("("))="("</formula>
    </cfRule>
  </conditionalFormatting>
  <conditionalFormatting sqref="R16:R20 R26:R27 R22:R23">
    <cfRule type="expression" priority="143" aboveAverage="0" equalAverage="0" bottom="0" percent="0" rank="0" text="" dxfId="163">
      <formula>$C16=1</formula>
    </cfRule>
    <cfRule type="expression" priority="144" aboveAverage="0" equalAverage="0" bottom="0" percent="0" rank="0" text="" dxfId="164">
      <formula>OR($C16=0,$C16=2,$C16=3,$C16=4)</formula>
    </cfRule>
  </conditionalFormatting>
  <conditionalFormatting sqref="X16:X20 X26:X27 X22:X23">
    <cfRule type="expression" priority="145" aboveAverage="0" equalAverage="0" bottom="0" percent="0" rank="0" text="" dxfId="165">
      <formula>$C16=1</formula>
    </cfRule>
    <cfRule type="expression" priority="146" aboveAverage="0" equalAverage="0" bottom="0" percent="0" rank="0" text="" dxfId="166">
      <formula>OR($C16=0,$C16=2,$C16=3,$C16=4)</formula>
    </cfRule>
  </conditionalFormatting>
  <conditionalFormatting sqref="M16:M20 M26:M27 M22:M23">
    <cfRule type="cellIs" priority="147" operator="notEqual" aboveAverage="0" equalAverage="0" bottom="0" percent="0" rank="0" text="" dxfId="167">
      <formula>$N16</formula>
    </cfRule>
  </conditionalFormatting>
  <conditionalFormatting sqref="N16:O20 W16:W20 W26:W27 N26:O27 W22:W23 N22:O23">
    <cfRule type="expression" priority="148" aboveAverage="0" equalAverage="0" bottom="0" percent="0" rank="0" text="" dxfId="168">
      <formula>$C16=1</formula>
    </cfRule>
    <cfRule type="expression" priority="149" aboveAverage="0" equalAverage="0" bottom="0" percent="0" rank="0" text="" dxfId="169">
      <formula>OR($C16=0,$C16=2,$C16=3,$C16=4)</formula>
    </cfRule>
  </conditionalFormatting>
  <conditionalFormatting sqref="U16:V20 U26:V27 U22:V23">
    <cfRule type="expression" priority="150" aboveAverage="0" equalAverage="0" bottom="0" percent="0" rank="0" text="" dxfId="170">
      <formula>$C16=1</formula>
    </cfRule>
    <cfRule type="expression" priority="151" aboveAverage="0" equalAverage="0" bottom="0" percent="0" rank="0" text="" dxfId="171">
      <formula>OR($C16=0,$C16=2,$C16=3,$C16=4)</formula>
    </cfRule>
    <cfRule type="expression" priority="152" aboveAverage="0" equalAverage="0" bottom="0" percent="0" rank="0" text="" dxfId="172">
      <formula>AND(TIPOORCAMENTO="Licitado",$C16&lt;&gt;"L",$C16&lt;&gt;-1)</formula>
    </cfRule>
  </conditionalFormatting>
  <conditionalFormatting sqref="P16:Q20 S16:T20 Y16:Y20 AG16:AH20 AG26:AH27 Y26:Y27 S26:T27 P26:Q27 AG22:AH23 Y22:Y23 S22:T23 P22:Q23">
    <cfRule type="expression" priority="153" aboveAverage="0" equalAverage="0" bottom="0" percent="0" rank="0" text="" dxfId="173">
      <formula>$C16=1</formula>
    </cfRule>
    <cfRule type="expression" priority="154" aboveAverage="0" equalAverage="0" bottom="0" percent="0" rank="0" text="" dxfId="174">
      <formula>OR($C16=0,$C16=2,$C16=3,$C16=4)</formula>
    </cfRule>
  </conditionalFormatting>
  <conditionalFormatting sqref="R14 R28:R31 R35:R36">
    <cfRule type="beginsWith" priority="155" operator="beginsWith" aboveAverage="0" equalAverage="0" bottom="0" percent="0" rank="0" text="(" dxfId="175">
      <formula>LEFT(R14,LEN("("))="("</formula>
    </cfRule>
  </conditionalFormatting>
  <conditionalFormatting sqref="R14">
    <cfRule type="expression" priority="156" aboveAverage="0" equalAverage="0" bottom="0" percent="0" rank="0" text="" dxfId="176">
      <formula>$C14=1</formula>
    </cfRule>
    <cfRule type="expression" priority="157" aboveAverage="0" equalAverage="0" bottom="0" percent="0" rank="0" text="" dxfId="177">
      <formula>OR($C14=0,$C14=2,$C14=3,$C14=4)</formula>
    </cfRule>
  </conditionalFormatting>
  <conditionalFormatting sqref="AC11">
    <cfRule type="cellIs" priority="158" operator="equal" aboveAverage="0" equalAverage="0" bottom="0" percent="0" rank="0" text="" dxfId="178">
      <formula>"OK"</formula>
    </cfRule>
  </conditionalFormatting>
  <conditionalFormatting sqref="X14">
    <cfRule type="expression" priority="159" aboveAverage="0" equalAverage="0" bottom="0" percent="0" rank="0" text="" dxfId="179">
      <formula>$C14=1</formula>
    </cfRule>
    <cfRule type="expression" priority="160" aboveAverage="0" equalAverage="0" bottom="0" percent="0" rank="0" text="" dxfId="180">
      <formula>OR($C14=0,$C14=2,$C14=3,$C14=4)</formula>
    </cfRule>
  </conditionalFormatting>
  <conditionalFormatting sqref="S9:X9">
    <cfRule type="expression" priority="161" aboveAverage="0" equalAverage="0" bottom="0" percent="0" rank="0" text="" dxfId="181">
      <formula>TIPOORCAMENTO="Proposto"</formula>
    </cfRule>
  </conditionalFormatting>
  <conditionalFormatting sqref="M14 M28:M31 M35:M38">
    <cfRule type="cellIs" priority="162" operator="notEqual" aboveAverage="0" equalAverage="0" bottom="0" percent="0" rank="0" text="" dxfId="182">
      <formula>$N14</formula>
    </cfRule>
  </conditionalFormatting>
  <conditionalFormatting sqref="N14:O14 W14 N28:O31 W28:X31 R28:R31 W37:W38 W35:X36 R35:R36 N35:O38">
    <cfRule type="expression" priority="163" aboveAverage="0" equalAverage="0" bottom="0" percent="0" rank="0" text="" dxfId="183">
      <formula>$C14=1</formula>
    </cfRule>
    <cfRule type="expression" priority="164" aboveAverage="0" equalAverage="0" bottom="0" percent="0" rank="0" text="" dxfId="184">
      <formula>OR($C14=0,$C14=2,$C14=3,$C14=4)</formula>
    </cfRule>
  </conditionalFormatting>
  <conditionalFormatting sqref="U14:V14 U28:V31 U35:V38">
    <cfRule type="expression" priority="165" aboveAverage="0" equalAverage="0" bottom="0" percent="0" rank="0" text="" dxfId="185">
      <formula>$C14=1</formula>
    </cfRule>
    <cfRule type="expression" priority="166" aboveAverage="0" equalAverage="0" bottom="0" percent="0" rank="0" text="" dxfId="186">
      <formula>OR($C14=0,$C14=2,$C14=3,$C14=4)</formula>
    </cfRule>
    <cfRule type="expression" priority="167" aboveAverage="0" equalAverage="0" bottom="0" percent="0" rank="0" text="" dxfId="187">
      <formula>AND(TIPOORCAMENTO="Licitado",$C14&lt;&gt;"L",$C14&lt;&gt;-1)</formula>
    </cfRule>
  </conditionalFormatting>
  <conditionalFormatting sqref="P14:Q14 S14:T14 Y14 AG14:AH14 P28:Q31 S28:T31 Y28:Y31 AG28:AH31 P35:Q38 S35:T38 Y35:Y38 AG35:AH38">
    <cfRule type="expression" priority="168" aboveAverage="0" equalAverage="0" bottom="0" percent="0" rank="0" text="" dxfId="188">
      <formula>$C14=1</formula>
    </cfRule>
    <cfRule type="expression" priority="169" aboveAverage="0" equalAverage="0" bottom="0" percent="0" rank="0" text="" dxfId="189">
      <formula>OR($C14=0,$C14=2,$C14=3,$C14=4)</formula>
    </cfRule>
  </conditionalFormatting>
  <conditionalFormatting sqref="AJ7:AJ59">
    <cfRule type="expression" priority="170" aboveAverage="0" equalAverage="0" bottom="0" percent="0" rank="0" text="" dxfId="190">
      <formula>OR(ACOMPANHAMENTO&lt;&gt;"BM",TIPOORCAMENTO="Licitado")</formula>
    </cfRule>
    <cfRule type="expression" priority="171" aboveAverage="0" equalAverage="0" bottom="0" percent="0" rank="0" text="" dxfId="191">
      <formula>$C7=1</formula>
    </cfRule>
    <cfRule type="expression" priority="172" aboveAverage="0" equalAverage="0" bottom="0" percent="0" rank="0" text="" dxfId="192">
      <formula>OR(AND(ISNUMBER($C7),$C7=0),$C7=2,$C7=3,$C7=4)</formula>
    </cfRule>
  </conditionalFormatting>
  <conditionalFormatting sqref="AL7:AL59">
    <cfRule type="expression" priority="173" aboveAverage="0" equalAverage="0" bottom="0" percent="0" rank="0" text="" dxfId="193">
      <formula>TIPOORCAMENTO="PROPOSTO"</formula>
    </cfRule>
    <cfRule type="expression" priority="174" aboveAverage="0" equalAverage="0" bottom="0" percent="0" rank="0" text="" dxfId="194">
      <formula>$C7=1</formula>
    </cfRule>
    <cfRule type="expression" priority="175" aboveAverage="0" equalAverage="0" bottom="0" percent="0" rank="0" text="" dxfId="195">
      <formula>OR(AND(ISNUMBER($C7),$C7=0),$C7=2,$C7=3,$C7=4)</formula>
    </cfRule>
  </conditionalFormatting>
  <conditionalFormatting sqref="AM7:AN59">
    <cfRule type="expression" priority="176" aboveAverage="0" equalAverage="0" bottom="0" percent="0" rank="0" text="" dxfId="196">
      <formula>TIPOORCAMENTO="PROPOSTO"</formula>
    </cfRule>
    <cfRule type="expression" priority="177" aboveAverage="0" equalAverage="0" bottom="0" percent="0" rank="0" text="" dxfId="197">
      <formula>$C7=1</formula>
    </cfRule>
    <cfRule type="expression" priority="178" aboveAverage="0" equalAverage="0" bottom="0" percent="0" rank="0" text="" dxfId="198">
      <formula>OR(AND(ISNUMBER($C7),$C7=0),$C7=2,$C7=3,$C7=4)</formula>
    </cfRule>
  </conditionalFormatting>
  <conditionalFormatting sqref="O8:P8">
    <cfRule type="expression" priority="179" aboveAverage="0" equalAverage="0" bottom="0" percent="0" rank="0" text="" dxfId="199">
      <formula>ISERROR(INDIRECT($F$9))</formula>
    </cfRule>
  </conditionalFormatting>
  <conditionalFormatting sqref="S7:V8">
    <cfRule type="expression" priority="180" aboveAverage="0" equalAverage="0" bottom="0" percent="0" rank="0" text="" dxfId="200">
      <formula>TIPOORCAMENTO="Proposto"</formula>
    </cfRule>
  </conditionalFormatting>
  <dataValidations count="8">
    <dataValidation allowBlank="true" error="Apenas números decimais maiores que zero." errorStyle="stop" operator="greaterThan" showDropDown="false" showErrorMessage="true" showInputMessage="false" sqref="U14 AJ14 AL14 U16:U58 AJ16:AJ58 AL16:AL58" type="decimal">
      <formula1>0</formula1>
      <formula2>0</formula2>
    </dataValidation>
    <dataValidation allowBlank="true" errorStyle="stop" operator="between" prompt="A entrada de quantidades é feita na coluna AJ se acompanhamento por BM, ou na aba &quot;Memória de Cálculo/PLQ&quot; se acompanhamento por PLE." showDropDown="false" showErrorMessage="true" showInputMessage="true" sqref="T14 T16:T58" type="none">
      <formula1>0</formula1>
      <formula2>0</formula2>
    </dataValidation>
    <dataValidation allowBlank="true" errorStyle="stop" operator="between" prompt="Para Orçamento Proposto, o Preço Unitário é resultado do produto do Custo Unitário pelo BDI.&#10;Para Orçamento Licitado, deve ser preenchido na Coluna AL." showDropDown="false" showErrorMessage="true" showInputMessage="true" sqref="W14 W16:W58" type="none">
      <formula1>0</formula1>
      <formula2>0</formula2>
    </dataValidation>
    <dataValidation allowBlank="true" errorStyle="information" operator="between" prompt="Selecione uma sigla de unidade na lista suspensa." showDropDown="false" showErrorMessage="false" showInputMessage="true" sqref="S14 S16:S58" type="list">
      <formula1>ListaTgov.Unidades</formula1>
      <formula2>0</formula2>
    </dataValidation>
    <dataValidation allowBlank="true" error="Selecione um dos 3 BDI da lista.&#10;&#10;Caso tenha mais de 3 BDI nesta Planilha Orçamentária digite apenas valor percentual." errorStyle="warning" errorTitle="Aviso BDI" operator="between" prompt="RA: Rateio proporcional entre Repasse e Contrapartida.&#10;RP: 100% Repasse&#10;CP: 100% Contrapartida&#10;OU: 100% Outros." promptTitle="Legenda:" showDropDown="false" showErrorMessage="true" showInputMessage="true" sqref="Y14 Y16:Y58" type="list">
      <formula1>ORÇAMENTO.Lista.Recurso</formula1>
      <formula2>0</formula2>
    </dataValidation>
    <dataValidation allowBlank="true" error="Selecione um dos 3 BDI da lista.&#10;&#10;Caso tenha mais de 3 BDI nesta Planilha Orçamentária digite apenas valor percentual." errorStyle="warning" errorTitle="Aviso BDI" operator="between" prompt="Selecione um dos 3 BDI da lista.&#10;&#10;Caso tenha mais de 3 BDI nesta Planilha Orçamentária digite apenas valor percentual." promptTitle="Aviso BDI" showDropDown="false" showErrorMessage="false" showInputMessage="true" sqref="V14 V16:V58" type="list">
      <formula1>ORÇAMENTO.Lista.BDI</formula1>
      <formula2>0</formula2>
    </dataValidation>
    <dataValidation allowBlank="true" errorStyle="stop" operator="between" prompt="Selecione na lista a fonte referencial de custo do serviço.&#10;&#10;Caso seja outra fonte, digite o nome da fonte nesta célula.&#10;&#10;O nome da fonte deve ser idêntico ao que consta na planilha referência." promptTitle="Fonte:" showDropDown="false" showErrorMessage="false" showInputMessage="true" sqref="P14 P16:P58" type="list">
      <formula1>ORÇAMENTO.Lista.Fonte</formula1>
      <formula2>0</formula2>
    </dataValidation>
    <dataValidation allowBlank="false" error="Selecione somente os itens da lista." errorStyle="stop" errorTitle="Erro de Entrada" operator="between" prompt="Selecione na lista o nível de itemização da Planilha." promptTitle="Nível:" showDropDown="false" showErrorMessage="true" showInputMessage="true" sqref="M14 M16:M58" type="list">
      <formula1>ORÇAMENTO.Lista.Nível</formula1>
      <formula2>0</formula2>
    </dataValidation>
  </dataValidations>
  <printOptions headings="false" gridLines="false" gridLinesSet="true" horizontalCentered="true" verticalCentered="false"/>
  <pageMargins left="0.39375" right="0.39375" top="0.590277777777778" bottom="0.590277777777778" header="0.590277777777778" footer="0.590277777777778"/>
  <pageSetup paperSize="9" scale="70" fitToWidth="1" fitToHeight="1" pageOrder="downThenOver" orientation="landscape" blackAndWhite="false" draft="false" cellComments="none" horizontalDpi="300" verticalDpi="300" copies="1"/>
  <headerFooter differentFirst="false" differentOddEven="false">
    <oddHeader>&amp;C&amp;14I</oddHeader>
    <oddFooter>&amp;LPMv3.16&amp;R&amp;P / &amp;N</oddFooter>
  </headerFooter>
  <colBreaks count="1" manualBreakCount="1">
    <brk id="25" man="true" max="65535" min="0"/>
  </colBreaks>
  <drawing r:id="rId2"/>
  <legacyDrawing r:id="rId3"/>
  <mc:AlternateContent xmlns:mc="http://schemas.openxmlformats.org/markup-compatibility/2006">
    <mc:Choice Requires="x14">
      <controls>
        <mc:AlternateContent xmlns:mc="http://schemas.openxmlformats.org/markup-compatibility/2006">
          <mc:Choice Requires="x14">
            <control shapeId="1001" r:id="rId4" name="">
              <controlPr defaultSize="0" locked="1" autoFill="0" autoLine="0" autoPict="0" print="false" altText="CaixaArredQuant">
                <anchor moveWithCells="true" sizeWithCells="false">
                  <from>
                    <xdr:col>3</xdr:col>
                    <xdr:colOff>9039240</xdr:colOff>
                    <xdr:row>6</xdr:row>
                    <xdr:rowOff>113040</xdr:rowOff>
                  </from>
                  <to>
                    <xdr:col>4</xdr:col>
                    <xdr:colOff>283680</xdr:colOff>
                    <xdr:row>8</xdr:row>
                    <xdr:rowOff>720</xdr:rowOff>
                  </to>
                </anchor>
              </controlPr>
            </control>
          </mc:Choice>
        </mc:AlternateContent>
        <mc:AlternateContent xmlns:mc="http://schemas.openxmlformats.org/markup-compatibility/2006">
          <mc:Choice Requires="x14">
            <control shapeId="1002" r:id="rId5" name="">
              <controlPr defaultSize="0" locked="1" autoFill="0" autoLine="0" autoPict="0" print="false" altText="CaixaArredCustoUnit">
                <anchor moveWithCells="true" sizeWithCells="false">
                  <from>
                    <xdr:col>20</xdr:col>
                    <xdr:colOff>390600</xdr:colOff>
                    <xdr:row>9</xdr:row>
                    <xdr:rowOff>66600</xdr:rowOff>
                  </from>
                  <to>
                    <xdr:col>21</xdr:col>
                    <xdr:colOff>-207720</xdr:colOff>
                    <xdr:row>10</xdr:row>
                    <xdr:rowOff>142920</xdr:rowOff>
                  </to>
                </anchor>
              </controlPr>
            </control>
          </mc:Choice>
        </mc:AlternateContent>
        <mc:AlternateContent xmlns:mc="http://schemas.openxmlformats.org/markup-compatibility/2006">
          <mc:Choice Requires="x14">
            <control shapeId="1003" r:id="rId6" name="">
              <controlPr defaultSize="0" locked="1" autoFill="0" autoLine="0" autoPict="0" print="false" altText="CaixaArredBDI">
                <anchor moveWithCells="true" sizeWithCells="false">
                  <from>
                    <xdr:col>21</xdr:col>
                    <xdr:colOff>266760</xdr:colOff>
                    <xdr:row>9</xdr:row>
                    <xdr:rowOff>66600</xdr:rowOff>
                  </from>
                  <to>
                    <xdr:col>22</xdr:col>
                    <xdr:colOff>-68400</xdr:colOff>
                    <xdr:row>10</xdr:row>
                    <xdr:rowOff>142920</xdr:rowOff>
                  </to>
                </anchor>
              </controlPr>
            </control>
          </mc:Choice>
        </mc:AlternateContent>
        <mc:AlternateContent xmlns:mc="http://schemas.openxmlformats.org/markup-compatibility/2006">
          <mc:Choice Requires="x14">
            <control shapeId="1004" r:id="rId7" name="">
              <controlPr defaultSize="0" locked="1" autoFill="0" autoLine="0" autoPict="0" print="false" altText="CaixaArredPrecoUnit">
                <anchor moveWithCells="true" sizeWithCells="false">
                  <from>
                    <xdr:col>22</xdr:col>
                    <xdr:colOff>390600</xdr:colOff>
                    <xdr:row>9</xdr:row>
                    <xdr:rowOff>66600</xdr:rowOff>
                  </from>
                  <to>
                    <xdr:col>23</xdr:col>
                    <xdr:colOff>-217080</xdr:colOff>
                    <xdr:row>10</xdr:row>
                    <xdr:rowOff>142920</xdr:rowOff>
                  </to>
                </anchor>
              </controlPr>
            </control>
          </mc:Choice>
        </mc:AlternateContent>
        <mc:AlternateContent xmlns:mc="http://schemas.openxmlformats.org/markup-compatibility/2006">
          <mc:Choice Requires="x14">
            <control shapeId="1005" r:id="rId8" name="">
              <controlPr defaultSize="0" locked="1" autoFill="0" autoLine="0" autoPict="0" print="false" altText="CaixaArredPrecoTotal">
                <anchor moveWithCells="true" sizeWithCells="false">
                  <from>
                    <xdr:col>23</xdr:col>
                    <xdr:colOff>428400</xdr:colOff>
                    <xdr:row>9</xdr:row>
                    <xdr:rowOff>47520</xdr:rowOff>
                  </from>
                  <to>
                    <xdr:col>24</xdr:col>
                    <xdr:colOff>-240480</xdr:colOff>
                    <xdr:row>10</xdr:row>
                    <xdr:rowOff>142920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Z72"/>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pane xSplit="4" ySplit="14" topLeftCell="E15" activePane="bottomRight" state="frozen"/>
      <selection pane="topLeft" activeCell="A1" activeCellId="0" sqref="A1"/>
      <selection pane="topRight" activeCell="E1" activeCellId="0" sqref="E1"/>
      <selection pane="bottomLeft" activeCell="A15" activeCellId="0" sqref="A15"/>
      <selection pane="bottomRight" activeCell="A1" activeCellId="0" sqref="A1"/>
    </sheetView>
  </sheetViews>
  <sheetFormatPr defaultColWidth="8.6796875" defaultRowHeight="12.75" customHeight="false" zeroHeight="false" outlineLevelRow="0" outlineLevelCol="0"/>
  <cols>
    <col collapsed="false" customWidth="true" hidden="false" outlineLevel="0" max="1" min="1" style="178" width="3.57"/>
    <col collapsed="false" customWidth="true" hidden="true" outlineLevel="0" max="2" min="2" style="0" width="5.42"/>
    <col collapsed="false" customWidth="true" hidden="false" outlineLevel="0" max="3" min="3" style="0" width="12.57"/>
    <col collapsed="false" customWidth="true" hidden="false" outlineLevel="0" max="4" min="4" style="0" width="50.57"/>
    <col collapsed="false" customWidth="true" hidden="true" outlineLevel="0" max="5" min="5" style="0" width="14.57"/>
    <col collapsed="false" customWidth="true" hidden="false" outlineLevel="0" max="6" min="6" style="0" width="28.57"/>
    <col collapsed="false" customWidth="true" hidden="true" outlineLevel="0" max="7" min="7" style="0" width="14.57"/>
    <col collapsed="false" customWidth="true" hidden="false" outlineLevel="0" max="25" min="8" style="0" width="14.57"/>
    <col collapsed="false" customWidth="true" hidden="true" outlineLevel="0" max="26" min="26" style="0" width="14.57"/>
  </cols>
  <sheetData>
    <row r="1" customFormat="false" ht="12.75" hidden="true" customHeight="false" outlineLevel="0" collapsed="false">
      <c r="A1" s="178" t="str">
        <f aca="false">IF(D1="","","F")</f>
        <v/>
      </c>
      <c r="B1" s="0" t="e">
        <f aca="false">IF(OR(C1=" ",D1=""),"",CONCATENATE(C1,". ",D1))</f>
        <v>#VALUE!</v>
      </c>
      <c r="C1" s="263" t="e">
        <f aca="true" t="array" ref="C1:C1">IF(OR(ROW(C1)=ROW(EVENTOS.firstrow)+1,AND(OFFSET(C1,-1,0)&lt;&gt;" ",OFFSET(C1,-1,1)&lt;&gt;"")),OFFSET(C1,-1,0)+1," ")</f>
        <v>#VALUE!</v>
      </c>
      <c r="D1" s="264"/>
      <c r="E1" s="265" t="n">
        <f aca="true" t="array" ref="E1:E1">IF(AUTOEVENTO="Manual",ROUND(SUMPRODUCT((CÁLCULO!$M$15:$M$59=EVENTOS!$C1)*(OFFSET(CÁLCULO!$AA$15:$AA$59,0,E$13))),2),0)</f>
        <v>0</v>
      </c>
      <c r="F1" s="266" t="n">
        <f aca="true">IF(AUTOEVENTO="Manual",ROUND(SUMPRODUCT((CÁLCULO!$M$15:$M$59=EVENTOS!$C1)*(OFFSET(CÁLCULO!$AA$15,0,1):OFFSET(CÁLCULO!$AL$59,0,-1))),2),0)</f>
        <v>0</v>
      </c>
      <c r="G1" s="267" t="str">
        <f aca="false">IF(AND(D1=0,F1&gt;0),"NOME",
 IF(AND(D1&lt;&gt;0,$F$14&gt;0,F1=0),"VALOR",
 IF(AND(Import.TipoArredondamento="TransfereGOV",$A1="F",LEN(D1)&gt;100),"Nome &gt;100","")))</f>
        <v/>
      </c>
      <c r="H1" s="265" t="n">
        <f aca="true" t="array" ref="H1:H1">IF(AUTOEVENTO="Manual",ROUND(SUMPRODUCT((CÁLCULO!$M$15:$M$59=EVENTOS!$C1)*(OFFSET(CÁLCULO!$AA$15:$AA$59,0,H$13))),2),0)</f>
        <v>0</v>
      </c>
      <c r="I1" s="265" t="n">
        <f aca="true" t="array" ref="I1:I1">IF(AUTOEVENTO="Manual",ROUND(SUMPRODUCT((CÁLCULO!$M$15:$M$59=EVENTOS!$C1)*(OFFSET(CÁLCULO!$AA$15:$AA$59,0,I$13))),2),0)</f>
        <v>0</v>
      </c>
      <c r="J1" s="265" t="n">
        <f aca="true" t="array" ref="J1:J1">IF(AUTOEVENTO="Manual",ROUND(SUMPRODUCT((CÁLCULO!$M$15:$M$59=EVENTOS!$C1)*(OFFSET(CÁLCULO!$AA$15:$AA$59,0,J$13))),2),0)</f>
        <v>0</v>
      </c>
      <c r="K1" s="265" t="n">
        <f aca="true" t="array" ref="K1:K1">IF(AUTOEVENTO="Manual",ROUND(SUMPRODUCT((CÁLCULO!$M$15:$M$59=EVENTOS!$C1)*(OFFSET(CÁLCULO!$AA$15:$AA$59,0,K$13))),2),0)</f>
        <v>0</v>
      </c>
      <c r="L1" s="265" t="n">
        <f aca="true" t="array" ref="L1:L1">IF(AUTOEVENTO="Manual",ROUND(SUMPRODUCT((CÁLCULO!$M$15:$M$59=EVENTOS!$C1)*(OFFSET(CÁLCULO!$AA$15:$AA$59,0,L$13))),2),0)</f>
        <v>0</v>
      </c>
      <c r="M1" s="265" t="n">
        <f aca="true" t="array" ref="M1:M1">IF(AUTOEVENTO="Manual",ROUND(SUMPRODUCT((CÁLCULO!$M$15:$M$59=EVENTOS!$C1)*(OFFSET(CÁLCULO!$AA$15:$AA$59,0,M$13))),2),0)</f>
        <v>0</v>
      </c>
      <c r="N1" s="265" t="n">
        <f aca="true" t="array" ref="N1:N1">IF(AUTOEVENTO="Manual",ROUND(SUMPRODUCT((CÁLCULO!$M$15:$M$59=EVENTOS!$C1)*(OFFSET(CÁLCULO!$AA$15:$AA$59,0,N$13))),2),0)</f>
        <v>0</v>
      </c>
      <c r="O1" s="265" t="n">
        <f aca="true" t="array" ref="O1:O1">IF(AUTOEVENTO="Manual",ROUND(SUMPRODUCT((CÁLCULO!$M$15:$M$59=EVENTOS!$C1)*(OFFSET(CÁLCULO!$AA$15:$AA$59,0,O$13))),2),0)</f>
        <v>0</v>
      </c>
      <c r="P1" s="265" t="n">
        <f aca="true" t="array" ref="P1:P1">IF(AUTOEVENTO="Manual",ROUND(SUMPRODUCT((CÁLCULO!$M$15:$M$59=EVENTOS!$C1)*(OFFSET(CÁLCULO!$AA$15:$AA$59,0,P$13))),2),0)</f>
        <v>0</v>
      </c>
      <c r="Q1" s="265" t="n">
        <f aca="true" t="array" ref="Q1:Q1">IF(AUTOEVENTO="Manual",ROUND(SUMPRODUCT((CÁLCULO!$M$15:$M$59=EVENTOS!$C1)*(OFFSET(CÁLCULO!$AA$15:$AA$59,0,Q$13))),2),0)</f>
        <v>0</v>
      </c>
      <c r="R1" s="265" t="n">
        <f aca="true" t="array" ref="R1:R1">IF(AUTOEVENTO="Manual",ROUND(SUMPRODUCT((CÁLCULO!$M$15:$M$59=EVENTOS!$C1)*(OFFSET(CÁLCULO!$AA$15:$AA$59,0,R$13))),2),0)</f>
        <v>0</v>
      </c>
      <c r="S1" s="265" t="n">
        <f aca="true" t="array" ref="S1:S1">IF(AUTOEVENTO="Manual",ROUND(SUMPRODUCT((CÁLCULO!$M$15:$M$59=EVENTOS!$C1)*(OFFSET(CÁLCULO!$AA$15:$AA$59,0,S$13))),2),0)</f>
        <v>0</v>
      </c>
      <c r="T1" s="265" t="n">
        <f aca="true" t="array" ref="T1:T1">IF(AUTOEVENTO="Manual",ROUND(SUMPRODUCT((CÁLCULO!$M$15:$M$59=EVENTOS!$C1)*(OFFSET(CÁLCULO!$AA$15:$AA$59,0,T$13))),2),0)</f>
        <v>0</v>
      </c>
      <c r="U1" s="265" t="n">
        <f aca="true" t="array" ref="U1:U1">IF(AUTOEVENTO="Manual",ROUND(SUMPRODUCT((CÁLCULO!$M$15:$M$59=EVENTOS!$C1)*(OFFSET(CÁLCULO!$AA$15:$AA$59,0,U$13))),2),0)</f>
        <v>0</v>
      </c>
      <c r="V1" s="265" t="n">
        <f aca="true" t="array" ref="V1:V1">IF(AUTOEVENTO="Manual",ROUND(SUMPRODUCT((CÁLCULO!$M$15:$M$59=EVENTOS!$C1)*(OFFSET(CÁLCULO!$AA$15:$AA$59,0,V$13))),2),0)</f>
        <v>0</v>
      </c>
      <c r="W1" s="265" t="n">
        <f aca="true" t="array" ref="W1:W1">IF(AUTOEVENTO="Manual",ROUND(SUMPRODUCT((CÁLCULO!$M$15:$M$59=EVENTOS!$C1)*(OFFSET(CÁLCULO!$AA$15:$AA$59,0,W$13))),2),0)</f>
        <v>0</v>
      </c>
      <c r="X1" s="265" t="n">
        <f aca="true" t="array" ref="X1:X1">IF(AUTOEVENTO="Manual",ROUND(SUMPRODUCT((CÁLCULO!$M$15:$M$59=EVENTOS!$C1)*(OFFSET(CÁLCULO!$AA$15:$AA$59,0,X$13))),2),0)</f>
        <v>0</v>
      </c>
      <c r="Y1" s="265" t="n">
        <f aca="true" t="array" ref="Y1:Y1">IF(AUTOEVENTO="Manual",ROUND(SUMPRODUCT((CÁLCULO!$M$15:$M$59=EVENTOS!$C1)*(OFFSET(CÁLCULO!$AA$15:$AA$59,0,Y$13))),2),0)</f>
        <v>0</v>
      </c>
    </row>
    <row r="2" customFormat="false" ht="30" hidden="false" customHeight="true" outlineLevel="0" collapsed="false">
      <c r="F2" s="156" t="s">
        <v>870</v>
      </c>
      <c r="O2" s="268" t="s">
        <v>871</v>
      </c>
      <c r="Y2" s="268" t="s">
        <v>871</v>
      </c>
    </row>
    <row r="4" customFormat="false" ht="12.75" hidden="false" customHeight="true" outlineLevel="0" collapsed="false">
      <c r="C4" s="101" t="s">
        <v>712</v>
      </c>
      <c r="D4" s="172"/>
      <c r="E4" s="148"/>
      <c r="F4" s="269" t="s">
        <v>872</v>
      </c>
      <c r="G4" s="148"/>
      <c r="H4" s="270"/>
      <c r="I4" s="270"/>
      <c r="J4" s="270"/>
      <c r="K4" s="270"/>
      <c r="L4" s="270"/>
      <c r="N4" s="101" t="s">
        <v>710</v>
      </c>
      <c r="O4" s="271" t="s">
        <v>774</v>
      </c>
      <c r="P4" s="269" t="s">
        <v>872</v>
      </c>
      <c r="Q4" s="148"/>
      <c r="R4" s="270"/>
      <c r="S4" s="270"/>
      <c r="T4" s="270"/>
      <c r="U4" s="270"/>
      <c r="V4" s="270"/>
      <c r="X4" s="101" t="s">
        <v>710</v>
      </c>
      <c r="Y4" s="271" t="s">
        <v>774</v>
      </c>
    </row>
    <row r="5" customFormat="false" ht="12.75" hidden="false" customHeight="true" outlineLevel="0" collapsed="false">
      <c r="C5" s="272" t="str">
        <f aca="false">Import.Proponente</f>
        <v>PREFEITURA MUNICIPAL DE TRAMANDAI</v>
      </c>
      <c r="D5" s="273"/>
      <c r="E5" s="273"/>
      <c r="F5" s="274" t="str">
        <f aca="false">Import.Apelido</f>
        <v>REVITALAIZAÇÃO DA ORLA DA BEIRA RIO</v>
      </c>
      <c r="G5" s="274"/>
      <c r="H5" s="274"/>
      <c r="I5" s="274"/>
      <c r="J5" s="274"/>
      <c r="K5" s="274"/>
      <c r="L5" s="274"/>
      <c r="M5" s="274"/>
      <c r="N5" s="102" t="n">
        <f aca="false">Import.CR</f>
        <v>0</v>
      </c>
      <c r="O5" s="102" t="n">
        <f aca="false">Import.SICONV</f>
        <v>0</v>
      </c>
      <c r="P5" s="274" t="str">
        <f aca="false">Import.Apelido</f>
        <v>REVITALAIZAÇÃO DA ORLA DA BEIRA RIO</v>
      </c>
      <c r="Q5" s="274"/>
      <c r="R5" s="274"/>
      <c r="S5" s="274"/>
      <c r="T5" s="274"/>
      <c r="U5" s="274"/>
      <c r="V5" s="274"/>
      <c r="W5" s="274"/>
      <c r="X5" s="102" t="n">
        <f aca="false">Import.CR</f>
        <v>0</v>
      </c>
      <c r="Y5" s="102" t="n">
        <f aca="false">Import.SICONV</f>
        <v>0</v>
      </c>
      <c r="Z5" s="0" t="s">
        <v>822</v>
      </c>
    </row>
    <row r="6" customFormat="false" ht="24.75" hidden="false" customHeight="true" outlineLevel="0" collapsed="false">
      <c r="B6" s="0" t="s">
        <v>873</v>
      </c>
      <c r="C6" s="0" t="s">
        <v>874</v>
      </c>
      <c r="F6" s="51" t="str">
        <f aca="false">IF(AUTOEVENTO="MANUAL",
  IF(COUNTIF($G$15:$G$65,"NOME")&gt;0,"Falta preencher o nome do Título do Evento nº "&amp;INDEX($C$15:$C$65,MATCH("NOME",$G$15:$G$65,0)),
  IF(COUNTIF($G$15:$G$65,"VALOR")&gt;0,"Falta atribuir serviços ao Evento nº "&amp;INDEX($C$15:$C$65,MATCH("VALOR",$G$15:$G$65,0))&amp;". Corrigir a atribuição dos eventos na aba CÁLCULO. Ou excluir linhas dos eventos não utilizados.",
  IF(ROUND($F$14,2)&lt;&gt;ROUND(ORÇAMENTO!$X$15,2),"O valor total dos Eventos é diferente do valor total do Orçamento. Corrigir a atribuição dos eventos na aba CÁLCULO",
  IF(COUNTIF($G$15:$G$65,"Nome &gt;100")&gt;0,"O tamanho do Título do Evento no TransfereGOV é limitado a 100 caracteres. Resuma o nome do Título do Evento nº "&amp;INDEX($C$15:$C$65,MATCH("Nome &gt;100",$G$15:$G$65,0)),"")))),"")</f>
        <v/>
      </c>
    </row>
    <row r="7" customFormat="false" ht="3.75" hidden="false" customHeight="true" outlineLevel="0" collapsed="false">
      <c r="B7" s="0" t="s">
        <v>875</v>
      </c>
    </row>
    <row r="8" customFormat="false" ht="15" hidden="false" customHeight="false" outlineLevel="0" collapsed="false">
      <c r="B8" s="0" t="s">
        <v>876</v>
      </c>
      <c r="C8" s="275" t="s">
        <v>873</v>
      </c>
      <c r="D8" s="275"/>
      <c r="F8" s="51" t="str">
        <f aca="false">IF(ACOMPANHAMENTO="BM","",
 IF(Import.Eventos.Nível="","◄ Selecione a forma de definição dos agrupadores de eventos",
 IF(Import.Eventos.Nível="","◄ Selecione a forma de definição dos agrupadores de eventos","")))</f>
        <v/>
      </c>
    </row>
    <row r="9" customFormat="false" ht="12" hidden="false" customHeight="true" outlineLevel="0" collapsed="false">
      <c r="B9" s="0" t="s">
        <v>877</v>
      </c>
    </row>
    <row r="10" customFormat="false" ht="33.75" hidden="false" customHeight="true" outlineLevel="0" collapsed="false">
      <c r="C10" s="276" t="n">
        <f aca="false">COUNTIF($C$15:$C$65,"&gt;0")-1</f>
        <v>0</v>
      </c>
      <c r="D10" s="0" t="s">
        <v>822</v>
      </c>
      <c r="E10" s="277" t="n">
        <f aca="true">OFFSET(CÁLCULO!$P$12,0,EVENTOS!E$13)</f>
        <v>0</v>
      </c>
      <c r="F10" s="0" t="s">
        <v>822</v>
      </c>
      <c r="G10" s="278"/>
      <c r="H10" s="277" t="n">
        <f aca="true">OFFSET(CÁLCULO!$P$12,0,EVENTOS!H$13)</f>
        <v>0</v>
      </c>
      <c r="I10" s="277" t="str">
        <f aca="true">OFFSET(CÁLCULO!$P$12,0,EVENTOS!I$13)</f>
        <v>.</v>
      </c>
      <c r="J10" s="277" t="str">
        <f aca="true">OFFSET(CÁLCULO!$P$12,0,EVENTOS!J$13)</f>
        <v>.</v>
      </c>
      <c r="K10" s="278" t="str">
        <f aca="true">OFFSET(CÁLCULO!$P$12,0,EVENTOS!K$13)</f>
        <v>.</v>
      </c>
      <c r="L10" s="278" t="str">
        <f aca="true">OFFSET(CÁLCULO!$P$12,0,EVENTOS!L$13)</f>
        <v>.</v>
      </c>
      <c r="M10" s="278" t="str">
        <f aca="true">OFFSET(CÁLCULO!$P$12,0,EVENTOS!M$13)</f>
        <v>.</v>
      </c>
      <c r="N10" s="278" t="str">
        <f aca="true">OFFSET(CÁLCULO!$P$12,0,EVENTOS!N$13)</f>
        <v>.</v>
      </c>
      <c r="O10" s="278" t="str">
        <f aca="true">OFFSET(CÁLCULO!$P$12,0,EVENTOS!O$13)</f>
        <v>.</v>
      </c>
      <c r="P10" s="278" t="str">
        <f aca="true">OFFSET(CÁLCULO!$P$12,0,EVENTOS!P$13)</f>
        <v>.</v>
      </c>
      <c r="Q10" s="278" t="str">
        <f aca="true">OFFSET(CÁLCULO!$P$12,0,EVENTOS!Q$13)</f>
        <v>.</v>
      </c>
      <c r="R10" s="278" t="str">
        <f aca="true">OFFSET(CÁLCULO!$P$12,0,EVENTOS!R$13)</f>
        <v>.</v>
      </c>
      <c r="S10" s="278" t="str">
        <f aca="true">OFFSET(CÁLCULO!$P$12,0,EVENTOS!S$13)</f>
        <v>.</v>
      </c>
      <c r="T10" s="278" t="str">
        <f aca="true">OFFSET(CÁLCULO!$P$12,0,EVENTOS!T$13)</f>
        <v>.</v>
      </c>
      <c r="U10" s="278" t="str">
        <f aca="true">OFFSET(CÁLCULO!$P$12,0,EVENTOS!U$13)</f>
        <v>.</v>
      </c>
      <c r="V10" s="278" t="str">
        <f aca="true">OFFSET(CÁLCULO!$P$12,0,EVENTOS!V$13)</f>
        <v>.</v>
      </c>
      <c r="W10" s="278" t="str">
        <f aca="true">OFFSET(CÁLCULO!$P$12,0,EVENTOS!W$13)</f>
        <v>.</v>
      </c>
      <c r="X10" s="278" t="str">
        <f aca="true">OFFSET(CÁLCULO!$P$12,0,EVENTOS!X$13)</f>
        <v>.</v>
      </c>
      <c r="Y10" s="278" t="str">
        <f aca="true">OFFSET(CÁLCULO!$P$12,0,EVENTOS!Y$13)</f>
        <v>.</v>
      </c>
    </row>
    <row r="11" customFormat="false" ht="34.5" hidden="false" customHeight="true" outlineLevel="0" collapsed="false">
      <c r="A11" s="279" t="s">
        <v>715</v>
      </c>
      <c r="C11" s="280" t="str">
        <f aca="false" t="array" ref="C11:C11">IF(ACOMPANHAMENTO="BM","Foi selecionado na aba 'MENU' o acompanhamento por BM. Não há necessidade de definição de Eventos.",IF(AND(Import.Eventos.Nível&lt;&gt;"Definir Manualmente",Import.Eventos.Nível&lt;&gt;""),"Foi selecionada a forma automática de definição dos agrupadores de eventos.",""))</f>
        <v>Foi selecionado na aba 'MENU' o acompanhamento por BM. Não há necessidade de definição de Eventos.</v>
      </c>
      <c r="D11" s="280"/>
      <c r="E11" s="277"/>
      <c r="F11" s="281"/>
      <c r="G11" s="278"/>
      <c r="H11" s="277"/>
      <c r="I11" s="277"/>
      <c r="J11" s="277"/>
      <c r="K11" s="278"/>
      <c r="L11" s="278"/>
      <c r="M11" s="278"/>
      <c r="N11" s="278"/>
      <c r="O11" s="278"/>
      <c r="P11" s="278"/>
      <c r="Q11" s="278"/>
      <c r="R11" s="278"/>
      <c r="S11" s="278"/>
      <c r="T11" s="278"/>
      <c r="U11" s="278"/>
      <c r="V11" s="278"/>
      <c r="W11" s="278"/>
      <c r="X11" s="278"/>
      <c r="Y11" s="278"/>
    </row>
    <row r="12" customFormat="false" ht="12" hidden="false" customHeight="true" outlineLevel="0" collapsed="false">
      <c r="A12" s="282" t="s">
        <v>720</v>
      </c>
      <c r="E12" s="277"/>
      <c r="G12" s="278"/>
      <c r="H12" s="277"/>
      <c r="I12" s="277"/>
      <c r="J12" s="277"/>
      <c r="K12" s="278"/>
      <c r="L12" s="278"/>
      <c r="M12" s="278"/>
      <c r="N12" s="278"/>
      <c r="O12" s="278"/>
      <c r="P12" s="278"/>
      <c r="Q12" s="278"/>
      <c r="R12" s="278"/>
      <c r="S12" s="278"/>
      <c r="T12" s="278"/>
      <c r="U12" s="278"/>
      <c r="V12" s="278"/>
      <c r="W12" s="278"/>
      <c r="X12" s="278"/>
      <c r="Y12" s="278"/>
    </row>
    <row r="13" customFormat="false" ht="13.8" hidden="false" customHeight="false" outlineLevel="0" collapsed="false">
      <c r="A13" s="283"/>
      <c r="C13" s="284" t="s">
        <v>878</v>
      </c>
      <c r="D13" s="285" t="s">
        <v>879</v>
      </c>
      <c r="E13" s="286" t="n">
        <f aca="true">IF(NOT(ISNUMBER(OFFSET(E13,0,-1))),1,IF(OR(OFFSET(E13,0,-1)=0,OFFSET(E13,0,-1)+1&gt;CÁLCULO.FrentesPreenchidas),0,OFFSET(E13,0,-1)+1))</f>
        <v>1</v>
      </c>
      <c r="F13" s="287" t="s">
        <v>880</v>
      </c>
      <c r="G13" s="288"/>
      <c r="H13" s="286" t="n">
        <f aca="true">IF(NOT(ISNUMBER(OFFSET(H13,0,-1))),1,IF(OR(OFFSET(H13,0,-1)=0,OFFSET(H13,0,-1)+1&gt;CÁLCULO.FrentesPreenchidas),0,OFFSET(H13,0,-1)+1))</f>
        <v>1</v>
      </c>
      <c r="I13" s="286" t="n">
        <f aca="true">IF(NOT(ISNUMBER(OFFSET(I13,0,-1))),1,IF(OR(OFFSET(I13,0,-1)=0,OFFSET(I13,0,-1)+1&gt;CÁLCULO.FrentesPreenchidas),0,OFFSET(I13,0,-1)+1))</f>
        <v>0</v>
      </c>
      <c r="J13" s="286" t="n">
        <f aca="true">IF(NOT(ISNUMBER(OFFSET(J13,0,-1))),1,IF(OR(OFFSET(J13,0,-1)=0,OFFSET(J13,0,-1)+1&gt;CÁLCULO.FrentesPreenchidas),0,OFFSET(J13,0,-1)+1))</f>
        <v>0</v>
      </c>
      <c r="K13" s="286" t="n">
        <f aca="true">IF(NOT(ISNUMBER(OFFSET(K13,0,-1))),1,IF(OR(OFFSET(K13,0,-1)=0,OFFSET(K13,0,-1)+1&gt;CÁLCULO.FrentesPreenchidas),0,OFFSET(K13,0,-1)+1))</f>
        <v>0</v>
      </c>
      <c r="L13" s="286" t="n">
        <f aca="true">IF(NOT(ISNUMBER(OFFSET(L13,0,-1))),1,IF(OR(OFFSET(L13,0,-1)=0,OFFSET(L13,0,-1)+1&gt;CÁLCULO.FrentesPreenchidas),0,OFFSET(L13,0,-1)+1))</f>
        <v>0</v>
      </c>
      <c r="M13" s="286" t="n">
        <f aca="true">IF(NOT(ISNUMBER(OFFSET(M13,0,-1))),1,IF(OR(OFFSET(M13,0,-1)=0,OFFSET(M13,0,-1)+1&gt;CÁLCULO.FrentesPreenchidas),0,OFFSET(M13,0,-1)+1))</f>
        <v>0</v>
      </c>
      <c r="N13" s="286" t="n">
        <f aca="true">IF(NOT(ISNUMBER(OFFSET(N13,0,-1))),1,IF(OR(OFFSET(N13,0,-1)=0,OFFSET(N13,0,-1)+1&gt;CÁLCULO.FrentesPreenchidas),0,OFFSET(N13,0,-1)+1))</f>
        <v>0</v>
      </c>
      <c r="O13" s="286" t="n">
        <f aca="true">IF(NOT(ISNUMBER(OFFSET(O13,0,-1))),1,IF(OR(OFFSET(O13,0,-1)=0,OFFSET(O13,0,-1)+1&gt;CÁLCULO.FrentesPreenchidas),0,OFFSET(O13,0,-1)+1))</f>
        <v>0</v>
      </c>
      <c r="P13" s="286" t="n">
        <f aca="true">IF(NOT(ISNUMBER(OFFSET(P13,0,-1))),1,IF(OR(OFFSET(P13,0,-1)=0,OFFSET(P13,0,-1)+1&gt;CÁLCULO.FrentesPreenchidas),0,OFFSET(P13,0,-1)+1))</f>
        <v>0</v>
      </c>
      <c r="Q13" s="286" t="n">
        <f aca="true">IF(NOT(ISNUMBER(OFFSET(Q13,0,-1))),1,IF(OR(OFFSET(Q13,0,-1)=0,OFFSET(Q13,0,-1)+1&gt;CÁLCULO.FrentesPreenchidas),0,OFFSET(Q13,0,-1)+1))</f>
        <v>0</v>
      </c>
      <c r="R13" s="286" t="n">
        <f aca="true">IF(NOT(ISNUMBER(OFFSET(R13,0,-1))),1,IF(OR(OFFSET(R13,0,-1)=0,OFFSET(R13,0,-1)+1&gt;CÁLCULO.FrentesPreenchidas),0,OFFSET(R13,0,-1)+1))</f>
        <v>0</v>
      </c>
      <c r="S13" s="286" t="n">
        <f aca="true">IF(NOT(ISNUMBER(OFFSET(S13,0,-1))),1,IF(OR(OFFSET(S13,0,-1)=0,OFFSET(S13,0,-1)+1&gt;CÁLCULO.FrentesPreenchidas),0,OFFSET(S13,0,-1)+1))</f>
        <v>0</v>
      </c>
      <c r="T13" s="286" t="n">
        <f aca="true">IF(NOT(ISNUMBER(OFFSET(T13,0,-1))),1,IF(OR(OFFSET(T13,0,-1)=0,OFFSET(T13,0,-1)+1&gt;CÁLCULO.FrentesPreenchidas),0,OFFSET(T13,0,-1)+1))</f>
        <v>0</v>
      </c>
      <c r="U13" s="286" t="n">
        <f aca="true">IF(NOT(ISNUMBER(OFFSET(U13,0,-1))),1,IF(OR(OFFSET(U13,0,-1)=0,OFFSET(U13,0,-1)+1&gt;CÁLCULO.FrentesPreenchidas),0,OFFSET(U13,0,-1)+1))</f>
        <v>0</v>
      </c>
      <c r="V13" s="286" t="n">
        <f aca="true">IF(NOT(ISNUMBER(OFFSET(V13,0,-1))),1,IF(OR(OFFSET(V13,0,-1)=0,OFFSET(V13,0,-1)+1&gt;CÁLCULO.FrentesPreenchidas),0,OFFSET(V13,0,-1)+1))</f>
        <v>0</v>
      </c>
      <c r="W13" s="286" t="n">
        <f aca="true">IF(NOT(ISNUMBER(OFFSET(W13,0,-1))),1,IF(OR(OFFSET(W13,0,-1)=0,OFFSET(W13,0,-1)+1&gt;CÁLCULO.FrentesPreenchidas),0,OFFSET(W13,0,-1)+1))</f>
        <v>0</v>
      </c>
      <c r="X13" s="286" t="n">
        <f aca="true">IF(NOT(ISNUMBER(OFFSET(X13,0,-1))),1,IF(OR(OFFSET(X13,0,-1)=0,OFFSET(X13,0,-1)+1&gt;CÁLCULO.FrentesPreenchidas),0,OFFSET(X13,0,-1)+1))</f>
        <v>0</v>
      </c>
      <c r="Y13" s="286" t="n">
        <f aca="true">IF(NOT(ISNUMBER(OFFSET(Y13,0,-1))),1,IF(OR(OFFSET(Y13,0,-1)=0,OFFSET(Y13,0,-1)+1&gt;CÁLCULO.FrentesPreenchidas),0,OFFSET(Y13,0,-1)+1))</f>
        <v>0</v>
      </c>
    </row>
    <row r="14" customFormat="false" ht="15" hidden="false" customHeight="true" outlineLevel="0" collapsed="false">
      <c r="A14" s="178" t="s">
        <v>596</v>
      </c>
      <c r="C14" s="289"/>
      <c r="D14" s="290" t="s">
        <v>881</v>
      </c>
      <c r="E14" s="291" t="n">
        <f aca="false">SUM(E$15:E$65)</f>
        <v>0</v>
      </c>
      <c r="F14" s="292" t="n">
        <f aca="false">SUM(F$15:F$65)</f>
        <v>0</v>
      </c>
      <c r="H14" s="291" t="n">
        <f aca="false">SUM(H$15:H$65)</f>
        <v>0</v>
      </c>
      <c r="I14" s="291" t="n">
        <f aca="false">SUM(I$15:I$65)</f>
        <v>0</v>
      </c>
      <c r="J14" s="291" t="n">
        <f aca="false">SUM(J$15:J$65)</f>
        <v>0</v>
      </c>
      <c r="K14" s="291" t="n">
        <f aca="false">SUM(K$15:K$65)</f>
        <v>0</v>
      </c>
      <c r="L14" s="291" t="n">
        <f aca="false">SUM(L$15:L$65)</f>
        <v>0</v>
      </c>
      <c r="M14" s="291" t="n">
        <f aca="false">SUM(M$15:M$65)</f>
        <v>0</v>
      </c>
      <c r="N14" s="291" t="n">
        <f aca="false">SUM(N$15:N$65)</f>
        <v>0</v>
      </c>
      <c r="O14" s="291" t="n">
        <f aca="false">SUM(O$15:O$65)</f>
        <v>0</v>
      </c>
      <c r="P14" s="291" t="n">
        <f aca="false">SUM(P$15:P$65)</f>
        <v>0</v>
      </c>
      <c r="Q14" s="291" t="n">
        <f aca="false">SUM(Q$15:Q$65)</f>
        <v>0</v>
      </c>
      <c r="R14" s="291" t="n">
        <f aca="false">SUM(R$15:R$65)</f>
        <v>0</v>
      </c>
      <c r="S14" s="291" t="n">
        <f aca="false">SUM(S$15:S$65)</f>
        <v>0</v>
      </c>
      <c r="T14" s="291" t="n">
        <f aca="false">SUM(T$15:T$65)</f>
        <v>0</v>
      </c>
      <c r="U14" s="291" t="n">
        <f aca="false">SUM(U$15:U$65)</f>
        <v>0</v>
      </c>
      <c r="V14" s="291" t="n">
        <f aca="false">SUM(V$15:V$65)</f>
        <v>0</v>
      </c>
      <c r="W14" s="291" t="n">
        <f aca="false">SUM(W$15:W$65)</f>
        <v>0</v>
      </c>
      <c r="X14" s="291" t="n">
        <f aca="false">SUM(X$15:X$65)</f>
        <v>0</v>
      </c>
      <c r="Y14" s="291" t="n">
        <f aca="false">SUM(Y$15:Y$65)</f>
        <v>0</v>
      </c>
    </row>
    <row r="15" customFormat="false" ht="12.75" hidden="false" customHeight="false" outlineLevel="0" collapsed="false">
      <c r="A15" s="293" t="str">
        <f aca="false">IF(D15="","","F")</f>
        <v/>
      </c>
      <c r="B15" s="0" t="str">
        <f aca="false">IF(OR(C15=" ",D15=""),"",CONCATENATE(C15,". ",D15))</f>
        <v/>
      </c>
      <c r="C15" s="294" t="n">
        <f aca="false" t="array" ref="C15:C15">IF(AdmLocal="Automática",1,0)</f>
        <v>0</v>
      </c>
      <c r="D15" s="295" t="str">
        <f aca="false">IF(C15=1,"Administração Local","")</f>
        <v/>
      </c>
      <c r="E15" s="296" t="n">
        <f aca="true">IF($F$15=0,0,IF(E13=1,$F$15-SUM($I$15:$Z$15),ROUND(SUM(OFFSET(E15,1,0):OFFSET(E$65,-1,0))/SUM(OFFSET($F15,1,0):OFFSET($F$65,-1,0))*$F$15,2)))</f>
        <v>0</v>
      </c>
      <c r="F15" s="297" t="n">
        <f aca="false" t="array" ref="F15:F15">IF($C$15=0,0,ROUND(SUMPRODUCT((CÁLCULO!$M$15:$M$59=EVENTOS!$C15)*(ORÇAMENTO!$X$15:$X$59)),2))</f>
        <v>0</v>
      </c>
      <c r="G15" s="298"/>
      <c r="H15" s="296" t="n">
        <f aca="true">IF($F$15=0,0,IF(H13=1,$F$15-SUM($I$15:$Z$15),ROUND(SUM(OFFSET(H15,1,0):OFFSET(H$65,-1,0))/SUM(OFFSET($F15,1,0):OFFSET($F$65,-1,0))*$F$15,2)))</f>
        <v>0</v>
      </c>
      <c r="I15" s="296" t="n">
        <f aca="true">IF($F$15=0,0,IF(I13=1,$F$15-SUM($I$15:$Z$15),ROUND(SUM(OFFSET(I15,1,0):OFFSET(I$65,-1,0))/SUM(OFFSET($F15,1,0):OFFSET($F$65,-1,0))*$F$15,2)))</f>
        <v>0</v>
      </c>
      <c r="J15" s="296" t="n">
        <f aca="true">IF($F$15=0,0,IF(J13=1,$F$15-SUM($I$15:$Z$15),ROUND(SUM(OFFSET(J15,1,0):OFFSET(J$65,-1,0))/SUM(OFFSET($F15,1,0):OFFSET($F$65,-1,0))*$F$15,2)))</f>
        <v>0</v>
      </c>
      <c r="K15" s="296" t="n">
        <f aca="true">IF($F$15=0,0,IF(K13=1,$F$15-SUM($I$15:$Z$15),ROUND(SUM(OFFSET(K15,1,0):OFFSET(K$65,-1,0))/SUM(OFFSET($F15,1,0):OFFSET($F$65,-1,0))*$F$15,2)))</f>
        <v>0</v>
      </c>
      <c r="L15" s="296" t="n">
        <f aca="true">IF($F$15=0,0,IF(L13=1,$F$15-SUM($I$15:$Z$15),ROUND(SUM(OFFSET(L15,1,0):OFFSET(L$65,-1,0))/SUM(OFFSET($F15,1,0):OFFSET($F$65,-1,0))*$F$15,2)))</f>
        <v>0</v>
      </c>
      <c r="M15" s="296" t="n">
        <f aca="true">IF($F$15=0,0,IF(M13=1,$F$15-SUM($I$15:$Z$15),ROUND(SUM(OFFSET(M15,1,0):OFFSET(M$65,-1,0))/SUM(OFFSET($F15,1,0):OFFSET($F$65,-1,0))*$F$15,2)))</f>
        <v>0</v>
      </c>
      <c r="N15" s="296" t="n">
        <f aca="true">IF($F$15=0,0,IF(N13=1,$F$15-SUM($I$15:$Z$15),ROUND(SUM(OFFSET(N15,1,0):OFFSET(N$65,-1,0))/SUM(OFFSET($F15,1,0):OFFSET($F$65,-1,0))*$F$15,2)))</f>
        <v>0</v>
      </c>
      <c r="O15" s="296" t="n">
        <f aca="true">IF($F$15=0,0,IF(O13=1,$F$15-SUM($I$15:$Z$15),ROUND(SUM(OFFSET(O15,1,0):OFFSET(O$65,-1,0))/SUM(OFFSET($F15,1,0):OFFSET($F$65,-1,0))*$F$15,2)))</f>
        <v>0</v>
      </c>
      <c r="P15" s="296" t="n">
        <f aca="true">IF($F$15=0,0,IF(P13=1,$F$15-SUM($I$15:$Z$15),ROUND(SUM(OFFSET(P15,1,0):OFFSET(P$65,-1,0))/SUM(OFFSET($F15,1,0):OFFSET($F$65,-1,0))*$F$15,2)))</f>
        <v>0</v>
      </c>
      <c r="Q15" s="296" t="n">
        <f aca="true">IF($F$15=0,0,IF(Q13=1,$F$15-SUM($I$15:$Z$15),ROUND(SUM(OFFSET(Q15,1,0):OFFSET(Q$65,-1,0))/SUM(OFFSET($F15,1,0):OFFSET($F$65,-1,0))*$F$15,2)))</f>
        <v>0</v>
      </c>
      <c r="R15" s="296" t="n">
        <f aca="true">IF($F$15=0,0,IF(R13=1,$F$15-SUM($I$15:$Z$15),ROUND(SUM(OFFSET(R15,1,0):OFFSET(R$65,-1,0))/SUM(OFFSET($F15,1,0):OFFSET($F$65,-1,0))*$F$15,2)))</f>
        <v>0</v>
      </c>
      <c r="S15" s="296" t="n">
        <f aca="true">IF($F$15=0,0,IF(S13=1,$F$15-SUM($I$15:$Z$15),ROUND(SUM(OFFSET(S15,1,0):OFFSET(S$65,-1,0))/SUM(OFFSET($F15,1,0):OFFSET($F$65,-1,0))*$F$15,2)))</f>
        <v>0</v>
      </c>
      <c r="T15" s="296" t="n">
        <f aca="true">IF($F$15=0,0,IF(T13=1,$F$15-SUM($I$15:$Z$15),ROUND(SUM(OFFSET(T15,1,0):OFFSET(T$65,-1,0))/SUM(OFFSET($F15,1,0):OFFSET($F$65,-1,0))*$F$15,2)))</f>
        <v>0</v>
      </c>
      <c r="U15" s="296" t="n">
        <f aca="true">IF($F$15=0,0,IF(U13=1,$F$15-SUM($I$15:$Z$15),ROUND(SUM(OFFSET(U15,1,0):OFFSET(U$65,-1,0))/SUM(OFFSET($F15,1,0):OFFSET($F$65,-1,0))*$F$15,2)))</f>
        <v>0</v>
      </c>
      <c r="V15" s="296" t="n">
        <f aca="true">IF($F$15=0,0,IF(V13=1,$F$15-SUM($I$15:$Z$15),ROUND(SUM(OFFSET(V15,1,0):OFFSET(V$65,-1,0))/SUM(OFFSET($F15,1,0):OFFSET($F$65,-1,0))*$F$15,2)))</f>
        <v>0</v>
      </c>
      <c r="W15" s="296" t="n">
        <f aca="true">IF($F$15=0,0,IF(W13=1,$F$15-SUM($I$15:$Z$15),ROUND(SUM(OFFSET(W15,1,0):OFFSET(W$65,-1,0))/SUM(OFFSET($F15,1,0):OFFSET($F$65,-1,0))*$F$15,2)))</f>
        <v>0</v>
      </c>
      <c r="X15" s="296" t="n">
        <f aca="true">IF($F$15=0,0,IF(X13=1,$F$15-SUM($I$15:$Z$15),ROUND(SUM(OFFSET(X15,1,0):OFFSET(X$65,-1,0))/SUM(OFFSET($F15,1,0):OFFSET($F$65,-1,0))*$F$15,2)))</f>
        <v>0</v>
      </c>
      <c r="Y15" s="296" t="n">
        <f aca="true">IF($F$15=0,0,IF(Y13=1,$F$15-SUM($I$15:$Z$15),ROUND(SUM(OFFSET(Y15,1,0):OFFSET(Y$65,-1,0))/SUM(OFFSET($F15,1,0):OFFSET($F$65,-1,0))*$F$15,2)))</f>
        <v>0</v>
      </c>
    </row>
    <row r="16" customFormat="false" ht="12.75" hidden="false" customHeight="false" outlineLevel="0" collapsed="false">
      <c r="A16" s="178" t="str">
        <f aca="false">IF(D16="","","F")</f>
        <v/>
      </c>
      <c r="B16" s="0" t="str">
        <f aca="false">IF(OR(C16=" ",D16=""),"",CONCATENATE(C16,". ",D16))</f>
        <v/>
      </c>
      <c r="C16" s="263" t="n">
        <f aca="true" t="array" ref="C16:C16">IF(OR(ROW(C16)=ROW(EVENTOS.firstrow)+1,AND(OFFSET(C16,-1,0)&lt;&gt;" ",OFFSET(C16,-1,1)&lt;&gt;"")),OFFSET(C16,-1,0)+1," ")</f>
        <v>1</v>
      </c>
      <c r="D16" s="264"/>
      <c r="E16" s="265" t="n">
        <f aca="true" t="array" ref="E16:E16">IF(AUTOEVENTO="Manual",ROUND(SUMPRODUCT((CÁLCULO!$M$15:$M$59=EVENTOS!$C16)*(OFFSET(CÁLCULO!$AA$15:$AA$59,0,E$13))),2),0)</f>
        <v>0</v>
      </c>
      <c r="F16" s="266" t="n">
        <f aca="true">IF(AUTOEVENTO="Manual",ROUND(SUMPRODUCT((CÁLCULO!$M$15:$M$59=EVENTOS!$C16)*(OFFSET(CÁLCULO!$AA$15,0,1):OFFSET(CÁLCULO!$AL$59,0,-1))),2),0)</f>
        <v>0</v>
      </c>
      <c r="G16" s="267" t="str">
        <f aca="false">IF(AND(D16=0,F16&gt;0),"NOME",
 IF(AND(D16&lt;&gt;0,$F$14&gt;0,F16=0),"VALOR",
 IF(AND(Import.TipoArredondamento="TransfereGOV",$A16="F",LEN(D16)&gt;100),"Nome &gt;100","")))</f>
        <v/>
      </c>
      <c r="H16" s="265" t="n">
        <f aca="true" t="array" ref="H16:H16">IF(AUTOEVENTO="Manual",ROUND(SUMPRODUCT((CÁLCULO!$M$15:$M$59=EVENTOS!$C16)*(OFFSET(CÁLCULO!$AA$15:$AA$59,0,H$13))),2),0)</f>
        <v>0</v>
      </c>
      <c r="I16" s="265" t="n">
        <f aca="true" t="array" ref="I16:I16">IF(AUTOEVENTO="Manual",ROUND(SUMPRODUCT((CÁLCULO!$M$15:$M$59=EVENTOS!$C16)*(OFFSET(CÁLCULO!$AA$15:$AA$59,0,I$13))),2),0)</f>
        <v>0</v>
      </c>
      <c r="J16" s="265" t="n">
        <f aca="true" t="array" ref="J16:J16">IF(AUTOEVENTO="Manual",ROUND(SUMPRODUCT((CÁLCULO!$M$15:$M$59=EVENTOS!$C16)*(OFFSET(CÁLCULO!$AA$15:$AA$59,0,J$13))),2),0)</f>
        <v>0</v>
      </c>
      <c r="K16" s="265" t="n">
        <f aca="true" t="array" ref="K16:K16">IF(AUTOEVENTO="Manual",ROUND(SUMPRODUCT((CÁLCULO!$M$15:$M$59=EVENTOS!$C16)*(OFFSET(CÁLCULO!$AA$15:$AA$59,0,K$13))),2),0)</f>
        <v>0</v>
      </c>
      <c r="L16" s="265" t="n">
        <f aca="true" t="array" ref="L16:L16">IF(AUTOEVENTO="Manual",ROUND(SUMPRODUCT((CÁLCULO!$M$15:$M$59=EVENTOS!$C16)*(OFFSET(CÁLCULO!$AA$15:$AA$59,0,L$13))),2),0)</f>
        <v>0</v>
      </c>
      <c r="M16" s="265" t="n">
        <f aca="true" t="array" ref="M16:M16">IF(AUTOEVENTO="Manual",ROUND(SUMPRODUCT((CÁLCULO!$M$15:$M$59=EVENTOS!$C16)*(OFFSET(CÁLCULO!$AA$15:$AA$59,0,M$13))),2),0)</f>
        <v>0</v>
      </c>
      <c r="N16" s="265" t="n">
        <f aca="true" t="array" ref="N16:N16">IF(AUTOEVENTO="Manual",ROUND(SUMPRODUCT((CÁLCULO!$M$15:$M$59=EVENTOS!$C16)*(OFFSET(CÁLCULO!$AA$15:$AA$59,0,N$13))),2),0)</f>
        <v>0</v>
      </c>
      <c r="O16" s="265" t="n">
        <f aca="true" t="array" ref="O16:O16">IF(AUTOEVENTO="Manual",ROUND(SUMPRODUCT((CÁLCULO!$M$15:$M$59=EVENTOS!$C16)*(OFFSET(CÁLCULO!$AA$15:$AA$59,0,O$13))),2),0)</f>
        <v>0</v>
      </c>
      <c r="P16" s="265" t="n">
        <f aca="true" t="array" ref="P16:P16">IF(AUTOEVENTO="Manual",ROUND(SUMPRODUCT((CÁLCULO!$M$15:$M$59=EVENTOS!$C16)*(OFFSET(CÁLCULO!$AA$15:$AA$59,0,P$13))),2),0)</f>
        <v>0</v>
      </c>
      <c r="Q16" s="265" t="n">
        <f aca="true" t="array" ref="Q16:Q16">IF(AUTOEVENTO="Manual",ROUND(SUMPRODUCT((CÁLCULO!$M$15:$M$59=EVENTOS!$C16)*(OFFSET(CÁLCULO!$AA$15:$AA$59,0,Q$13))),2),0)</f>
        <v>0</v>
      </c>
      <c r="R16" s="265" t="n">
        <f aca="true" t="array" ref="R16:R16">IF(AUTOEVENTO="Manual",ROUND(SUMPRODUCT((CÁLCULO!$M$15:$M$59=EVENTOS!$C16)*(OFFSET(CÁLCULO!$AA$15:$AA$59,0,R$13))),2),0)</f>
        <v>0</v>
      </c>
      <c r="S16" s="265" t="n">
        <f aca="true" t="array" ref="S16:S16">IF(AUTOEVENTO="Manual",ROUND(SUMPRODUCT((CÁLCULO!$M$15:$M$59=EVENTOS!$C16)*(OFFSET(CÁLCULO!$AA$15:$AA$59,0,S$13))),2),0)</f>
        <v>0</v>
      </c>
      <c r="T16" s="265" t="n">
        <f aca="true" t="array" ref="T16:T16">IF(AUTOEVENTO="Manual",ROUND(SUMPRODUCT((CÁLCULO!$M$15:$M$59=EVENTOS!$C16)*(OFFSET(CÁLCULO!$AA$15:$AA$59,0,T$13))),2),0)</f>
        <v>0</v>
      </c>
      <c r="U16" s="265" t="n">
        <f aca="true" t="array" ref="U16:U16">IF(AUTOEVENTO="Manual",ROUND(SUMPRODUCT((CÁLCULO!$M$15:$M$59=EVENTOS!$C16)*(OFFSET(CÁLCULO!$AA$15:$AA$59,0,U$13))),2),0)</f>
        <v>0</v>
      </c>
      <c r="V16" s="265" t="n">
        <f aca="true" t="array" ref="V16:V16">IF(AUTOEVENTO="Manual",ROUND(SUMPRODUCT((CÁLCULO!$M$15:$M$59=EVENTOS!$C16)*(OFFSET(CÁLCULO!$AA$15:$AA$59,0,V$13))),2),0)</f>
        <v>0</v>
      </c>
      <c r="W16" s="265" t="n">
        <f aca="true" t="array" ref="W16:W16">IF(AUTOEVENTO="Manual",ROUND(SUMPRODUCT((CÁLCULO!$M$15:$M$59=EVENTOS!$C16)*(OFFSET(CÁLCULO!$AA$15:$AA$59,0,W$13))),2),0)</f>
        <v>0</v>
      </c>
      <c r="X16" s="265" t="n">
        <f aca="true" t="array" ref="X16:X16">IF(AUTOEVENTO="Manual",ROUND(SUMPRODUCT((CÁLCULO!$M$15:$M$59=EVENTOS!$C16)*(OFFSET(CÁLCULO!$AA$15:$AA$59,0,X$13))),2),0)</f>
        <v>0</v>
      </c>
      <c r="Y16" s="265" t="n">
        <f aca="true" t="array" ref="Y16:Y16">IF(AUTOEVENTO="Manual",ROUND(SUMPRODUCT((CÁLCULO!$M$15:$M$59=EVENTOS!$C16)*(OFFSET(CÁLCULO!$AA$15:$AA$59,0,Y$13))),2),0)</f>
        <v>0</v>
      </c>
    </row>
    <row r="17" customFormat="false" ht="12.75" hidden="false" customHeight="false" outlineLevel="0" collapsed="false">
      <c r="A17" s="178" t="str">
        <f aca="false">IF(D17="","","F")</f>
        <v/>
      </c>
      <c r="B17" s="0" t="str">
        <f aca="false">IF(OR(C17=" ",D17=""),"",CONCATENATE(C17,". ",D17))</f>
        <v/>
      </c>
      <c r="C17" s="263" t="str">
        <f aca="true" t="array" ref="C17:C17">IF(OR(ROW(C17)=ROW(EVENTOS.firstrow)+1,AND(OFFSET(C17,-1,0)&lt;&gt;" ",OFFSET(C17,-1,1)&lt;&gt;"")),OFFSET(C17,-1,0)+1," ")</f>
        <v> </v>
      </c>
      <c r="D17" s="264"/>
      <c r="E17" s="265" t="n">
        <f aca="true" t="array" ref="E17:E17">IF(AUTOEVENTO="Manual",ROUND(SUMPRODUCT((CÁLCULO!$M$15:$M$59=EVENTOS!$C17)*(OFFSET(CÁLCULO!$AA$15:$AA$59,0,E$13))),2),0)</f>
        <v>0</v>
      </c>
      <c r="F17" s="266" t="n">
        <f aca="true">IF(AUTOEVENTO="Manual",ROUND(SUMPRODUCT((CÁLCULO!$M$15:$M$59=EVENTOS!$C17)*(OFFSET(CÁLCULO!$AA$15,0,1):OFFSET(CÁLCULO!$AL$59,0,-1))),2),0)</f>
        <v>0</v>
      </c>
      <c r="G17" s="267" t="str">
        <f aca="false">IF(AND(D17=0,F17&gt;0),"NOME",
 IF(AND(D17&lt;&gt;0,$F$14&gt;0,F17=0),"VALOR",
 IF(AND(Import.TipoArredondamento="TransfereGOV",$A17="F",LEN(D17)&gt;100),"Nome &gt;100","")))</f>
        <v/>
      </c>
      <c r="H17" s="265" t="n">
        <f aca="true" t="array" ref="H17:H17">IF(AUTOEVENTO="Manual",ROUND(SUMPRODUCT((CÁLCULO!$M$15:$M$59=EVENTOS!$C17)*(OFFSET(CÁLCULO!$AA$15:$AA$59,0,H$13))),2),0)</f>
        <v>0</v>
      </c>
      <c r="I17" s="265" t="n">
        <f aca="true" t="array" ref="I17:I17">IF(AUTOEVENTO="Manual",ROUND(SUMPRODUCT((CÁLCULO!$M$15:$M$59=EVENTOS!$C17)*(OFFSET(CÁLCULO!$AA$15:$AA$59,0,I$13))),2),0)</f>
        <v>0</v>
      </c>
      <c r="J17" s="265" t="n">
        <f aca="true" t="array" ref="J17:J17">IF(AUTOEVENTO="Manual",ROUND(SUMPRODUCT((CÁLCULO!$M$15:$M$59=EVENTOS!$C17)*(OFFSET(CÁLCULO!$AA$15:$AA$59,0,J$13))),2),0)</f>
        <v>0</v>
      </c>
      <c r="K17" s="265" t="n">
        <f aca="true" t="array" ref="K17:K17">IF(AUTOEVENTO="Manual",ROUND(SUMPRODUCT((CÁLCULO!$M$15:$M$59=EVENTOS!$C17)*(OFFSET(CÁLCULO!$AA$15:$AA$59,0,K$13))),2),0)</f>
        <v>0</v>
      </c>
      <c r="L17" s="265" t="n">
        <f aca="true" t="array" ref="L17:L17">IF(AUTOEVENTO="Manual",ROUND(SUMPRODUCT((CÁLCULO!$M$15:$M$59=EVENTOS!$C17)*(OFFSET(CÁLCULO!$AA$15:$AA$59,0,L$13))),2),0)</f>
        <v>0</v>
      </c>
      <c r="M17" s="265" t="n">
        <f aca="true" t="array" ref="M17:M17">IF(AUTOEVENTO="Manual",ROUND(SUMPRODUCT((CÁLCULO!$M$15:$M$59=EVENTOS!$C17)*(OFFSET(CÁLCULO!$AA$15:$AA$59,0,M$13))),2),0)</f>
        <v>0</v>
      </c>
      <c r="N17" s="265" t="n">
        <f aca="true" t="array" ref="N17:N17">IF(AUTOEVENTO="Manual",ROUND(SUMPRODUCT((CÁLCULO!$M$15:$M$59=EVENTOS!$C17)*(OFFSET(CÁLCULO!$AA$15:$AA$59,0,N$13))),2),0)</f>
        <v>0</v>
      </c>
      <c r="O17" s="265" t="n">
        <f aca="true" t="array" ref="O17:O17">IF(AUTOEVENTO="Manual",ROUND(SUMPRODUCT((CÁLCULO!$M$15:$M$59=EVENTOS!$C17)*(OFFSET(CÁLCULO!$AA$15:$AA$59,0,O$13))),2),0)</f>
        <v>0</v>
      </c>
      <c r="P17" s="265" t="n">
        <f aca="true" t="array" ref="P17:P17">IF(AUTOEVENTO="Manual",ROUND(SUMPRODUCT((CÁLCULO!$M$15:$M$59=EVENTOS!$C17)*(OFFSET(CÁLCULO!$AA$15:$AA$59,0,P$13))),2),0)</f>
        <v>0</v>
      </c>
      <c r="Q17" s="265" t="n">
        <f aca="true" t="array" ref="Q17:Q17">IF(AUTOEVENTO="Manual",ROUND(SUMPRODUCT((CÁLCULO!$M$15:$M$59=EVENTOS!$C17)*(OFFSET(CÁLCULO!$AA$15:$AA$59,0,Q$13))),2),0)</f>
        <v>0</v>
      </c>
      <c r="R17" s="265" t="n">
        <f aca="true" t="array" ref="R17:R17">IF(AUTOEVENTO="Manual",ROUND(SUMPRODUCT((CÁLCULO!$M$15:$M$59=EVENTOS!$C17)*(OFFSET(CÁLCULO!$AA$15:$AA$59,0,R$13))),2),0)</f>
        <v>0</v>
      </c>
      <c r="S17" s="265" t="n">
        <f aca="true" t="array" ref="S17:S17">IF(AUTOEVENTO="Manual",ROUND(SUMPRODUCT((CÁLCULO!$M$15:$M$59=EVENTOS!$C17)*(OFFSET(CÁLCULO!$AA$15:$AA$59,0,S$13))),2),0)</f>
        <v>0</v>
      </c>
      <c r="T17" s="265" t="n">
        <f aca="true" t="array" ref="T17:T17">IF(AUTOEVENTO="Manual",ROUND(SUMPRODUCT((CÁLCULO!$M$15:$M$59=EVENTOS!$C17)*(OFFSET(CÁLCULO!$AA$15:$AA$59,0,T$13))),2),0)</f>
        <v>0</v>
      </c>
      <c r="U17" s="265" t="n">
        <f aca="true" t="array" ref="U17:U17">IF(AUTOEVENTO="Manual",ROUND(SUMPRODUCT((CÁLCULO!$M$15:$M$59=EVENTOS!$C17)*(OFFSET(CÁLCULO!$AA$15:$AA$59,0,U$13))),2),0)</f>
        <v>0</v>
      </c>
      <c r="V17" s="265" t="n">
        <f aca="true" t="array" ref="V17:V17">IF(AUTOEVENTO="Manual",ROUND(SUMPRODUCT((CÁLCULO!$M$15:$M$59=EVENTOS!$C17)*(OFFSET(CÁLCULO!$AA$15:$AA$59,0,V$13))),2),0)</f>
        <v>0</v>
      </c>
      <c r="W17" s="265" t="n">
        <f aca="true" t="array" ref="W17:W17">IF(AUTOEVENTO="Manual",ROUND(SUMPRODUCT((CÁLCULO!$M$15:$M$59=EVENTOS!$C17)*(OFFSET(CÁLCULO!$AA$15:$AA$59,0,W$13))),2),0)</f>
        <v>0</v>
      </c>
      <c r="X17" s="265" t="n">
        <f aca="true" t="array" ref="X17:X17">IF(AUTOEVENTO="Manual",ROUND(SUMPRODUCT((CÁLCULO!$M$15:$M$59=EVENTOS!$C17)*(OFFSET(CÁLCULO!$AA$15:$AA$59,0,X$13))),2),0)</f>
        <v>0</v>
      </c>
      <c r="Y17" s="265" t="n">
        <f aca="true" t="array" ref="Y17:Y17">IF(AUTOEVENTO="Manual",ROUND(SUMPRODUCT((CÁLCULO!$M$15:$M$59=EVENTOS!$C17)*(OFFSET(CÁLCULO!$AA$15:$AA$59,0,Y$13))),2),0)</f>
        <v>0</v>
      </c>
    </row>
    <row r="18" customFormat="false" ht="12.75" hidden="false" customHeight="false" outlineLevel="0" collapsed="false">
      <c r="A18" s="178" t="str">
        <f aca="false">IF(D18="","","F")</f>
        <v/>
      </c>
      <c r="B18" s="0" t="str">
        <f aca="false">IF(OR(C18=" ",D18=""),"",CONCATENATE(C18,". ",D18))</f>
        <v/>
      </c>
      <c r="C18" s="263" t="str">
        <f aca="true" t="array" ref="C18:C18">IF(OR(ROW(C18)=ROW(EVENTOS.firstrow)+1,AND(OFFSET(C18,-1,0)&lt;&gt;" ",OFFSET(C18,-1,1)&lt;&gt;"")),OFFSET(C18,-1,0)+1," ")</f>
        <v> </v>
      </c>
      <c r="D18" s="264"/>
      <c r="E18" s="265" t="n">
        <f aca="true" t="array" ref="E18:E18">IF(AUTOEVENTO="Manual",ROUND(SUMPRODUCT((CÁLCULO!$M$15:$M$59=EVENTOS!$C18)*(OFFSET(CÁLCULO!$AA$15:$AA$59,0,E$13))),2),0)</f>
        <v>0</v>
      </c>
      <c r="F18" s="266" t="n">
        <f aca="true">IF(AUTOEVENTO="Manual",ROUND(SUMPRODUCT((CÁLCULO!$M$15:$M$59=EVENTOS!$C18)*(OFFSET(CÁLCULO!$AA$15,0,1):OFFSET(CÁLCULO!$AL$59,0,-1))),2),0)</f>
        <v>0</v>
      </c>
      <c r="G18" s="267" t="str">
        <f aca="false">IF(AND(D18=0,F18&gt;0),"NOME",
 IF(AND(D18&lt;&gt;0,$F$14&gt;0,F18=0),"VALOR",
 IF(AND(Import.TipoArredondamento="TransfereGOV",$A18="F",LEN(D18)&gt;100),"Nome &gt;100","")))</f>
        <v/>
      </c>
      <c r="H18" s="265" t="n">
        <f aca="true" t="array" ref="H18:H18">IF(AUTOEVENTO="Manual",ROUND(SUMPRODUCT((CÁLCULO!$M$15:$M$59=EVENTOS!$C18)*(OFFSET(CÁLCULO!$AA$15:$AA$59,0,H$13))),2),0)</f>
        <v>0</v>
      </c>
      <c r="I18" s="265" t="n">
        <f aca="true" t="array" ref="I18:I18">IF(AUTOEVENTO="Manual",ROUND(SUMPRODUCT((CÁLCULO!$M$15:$M$59=EVENTOS!$C18)*(OFFSET(CÁLCULO!$AA$15:$AA$59,0,I$13))),2),0)</f>
        <v>0</v>
      </c>
      <c r="J18" s="265" t="n">
        <f aca="true" t="array" ref="J18:J18">IF(AUTOEVENTO="Manual",ROUND(SUMPRODUCT((CÁLCULO!$M$15:$M$59=EVENTOS!$C18)*(OFFSET(CÁLCULO!$AA$15:$AA$59,0,J$13))),2),0)</f>
        <v>0</v>
      </c>
      <c r="K18" s="265" t="n">
        <f aca="true" t="array" ref="K18:K18">IF(AUTOEVENTO="Manual",ROUND(SUMPRODUCT((CÁLCULO!$M$15:$M$59=EVENTOS!$C18)*(OFFSET(CÁLCULO!$AA$15:$AA$59,0,K$13))),2),0)</f>
        <v>0</v>
      </c>
      <c r="L18" s="265" t="n">
        <f aca="true" t="array" ref="L18:L18">IF(AUTOEVENTO="Manual",ROUND(SUMPRODUCT((CÁLCULO!$M$15:$M$59=EVENTOS!$C18)*(OFFSET(CÁLCULO!$AA$15:$AA$59,0,L$13))),2),0)</f>
        <v>0</v>
      </c>
      <c r="M18" s="265" t="n">
        <f aca="true" t="array" ref="M18:M18">IF(AUTOEVENTO="Manual",ROUND(SUMPRODUCT((CÁLCULO!$M$15:$M$59=EVENTOS!$C18)*(OFFSET(CÁLCULO!$AA$15:$AA$59,0,M$13))),2),0)</f>
        <v>0</v>
      </c>
      <c r="N18" s="265" t="n">
        <f aca="true" t="array" ref="N18:N18">IF(AUTOEVENTO="Manual",ROUND(SUMPRODUCT((CÁLCULO!$M$15:$M$59=EVENTOS!$C18)*(OFFSET(CÁLCULO!$AA$15:$AA$59,0,N$13))),2),0)</f>
        <v>0</v>
      </c>
      <c r="O18" s="265" t="n">
        <f aca="true" t="array" ref="O18:O18">IF(AUTOEVENTO="Manual",ROUND(SUMPRODUCT((CÁLCULO!$M$15:$M$59=EVENTOS!$C18)*(OFFSET(CÁLCULO!$AA$15:$AA$59,0,O$13))),2),0)</f>
        <v>0</v>
      </c>
      <c r="P18" s="265" t="n">
        <f aca="true" t="array" ref="P18:P18">IF(AUTOEVENTO="Manual",ROUND(SUMPRODUCT((CÁLCULO!$M$15:$M$59=EVENTOS!$C18)*(OFFSET(CÁLCULO!$AA$15:$AA$59,0,P$13))),2),0)</f>
        <v>0</v>
      </c>
      <c r="Q18" s="265" t="n">
        <f aca="true" t="array" ref="Q18:Q18">IF(AUTOEVENTO="Manual",ROUND(SUMPRODUCT((CÁLCULO!$M$15:$M$59=EVENTOS!$C18)*(OFFSET(CÁLCULO!$AA$15:$AA$59,0,Q$13))),2),0)</f>
        <v>0</v>
      </c>
      <c r="R18" s="265" t="n">
        <f aca="true" t="array" ref="R18:R18">IF(AUTOEVENTO="Manual",ROUND(SUMPRODUCT((CÁLCULO!$M$15:$M$59=EVENTOS!$C18)*(OFFSET(CÁLCULO!$AA$15:$AA$59,0,R$13))),2),0)</f>
        <v>0</v>
      </c>
      <c r="S18" s="265" t="n">
        <f aca="true" t="array" ref="S18:S18">IF(AUTOEVENTO="Manual",ROUND(SUMPRODUCT((CÁLCULO!$M$15:$M$59=EVENTOS!$C18)*(OFFSET(CÁLCULO!$AA$15:$AA$59,0,S$13))),2),0)</f>
        <v>0</v>
      </c>
      <c r="T18" s="265" t="n">
        <f aca="true" t="array" ref="T18:T18">IF(AUTOEVENTO="Manual",ROUND(SUMPRODUCT((CÁLCULO!$M$15:$M$59=EVENTOS!$C18)*(OFFSET(CÁLCULO!$AA$15:$AA$59,0,T$13))),2),0)</f>
        <v>0</v>
      </c>
      <c r="U18" s="265" t="n">
        <f aca="true" t="array" ref="U18:U18">IF(AUTOEVENTO="Manual",ROUND(SUMPRODUCT((CÁLCULO!$M$15:$M$59=EVENTOS!$C18)*(OFFSET(CÁLCULO!$AA$15:$AA$59,0,U$13))),2),0)</f>
        <v>0</v>
      </c>
      <c r="V18" s="265" t="n">
        <f aca="true" t="array" ref="V18:V18">IF(AUTOEVENTO="Manual",ROUND(SUMPRODUCT((CÁLCULO!$M$15:$M$59=EVENTOS!$C18)*(OFFSET(CÁLCULO!$AA$15:$AA$59,0,V$13))),2),0)</f>
        <v>0</v>
      </c>
      <c r="W18" s="265" t="n">
        <f aca="true" t="array" ref="W18:W18">IF(AUTOEVENTO="Manual",ROUND(SUMPRODUCT((CÁLCULO!$M$15:$M$59=EVENTOS!$C18)*(OFFSET(CÁLCULO!$AA$15:$AA$59,0,W$13))),2),0)</f>
        <v>0</v>
      </c>
      <c r="X18" s="265" t="n">
        <f aca="true" t="array" ref="X18:X18">IF(AUTOEVENTO="Manual",ROUND(SUMPRODUCT((CÁLCULO!$M$15:$M$59=EVENTOS!$C18)*(OFFSET(CÁLCULO!$AA$15:$AA$59,0,X$13))),2),0)</f>
        <v>0</v>
      </c>
      <c r="Y18" s="265" t="n">
        <f aca="true" t="array" ref="Y18:Y18">IF(AUTOEVENTO="Manual",ROUND(SUMPRODUCT((CÁLCULO!$M$15:$M$59=EVENTOS!$C18)*(OFFSET(CÁLCULO!$AA$15:$AA$59,0,Y$13))),2),0)</f>
        <v>0</v>
      </c>
    </row>
    <row r="19" customFormat="false" ht="12.75" hidden="false" customHeight="false" outlineLevel="0" collapsed="false">
      <c r="A19" s="178" t="str">
        <f aca="false">IF(D19="","","F")</f>
        <v/>
      </c>
      <c r="B19" s="0" t="str">
        <f aca="false">IF(OR(C19=" ",D19=""),"",CONCATENATE(C19,". ",D19))</f>
        <v/>
      </c>
      <c r="C19" s="263" t="str">
        <f aca="true" t="array" ref="C19:C19">IF(OR(ROW(C19)=ROW(EVENTOS.firstrow)+1,AND(OFFSET(C19,-1,0)&lt;&gt;" ",OFFSET(C19,-1,1)&lt;&gt;"")),OFFSET(C19,-1,0)+1," ")</f>
        <v> </v>
      </c>
      <c r="D19" s="264"/>
      <c r="E19" s="265" t="n">
        <f aca="true" t="array" ref="E19:E19">IF(AUTOEVENTO="Manual",ROUND(SUMPRODUCT((CÁLCULO!$M$15:$M$59=EVENTOS!$C19)*(OFFSET(CÁLCULO!$AA$15:$AA$59,0,E$13))),2),0)</f>
        <v>0</v>
      </c>
      <c r="F19" s="266" t="n">
        <f aca="true">IF(AUTOEVENTO="Manual",ROUND(SUMPRODUCT((CÁLCULO!$M$15:$M$59=EVENTOS!$C19)*(OFFSET(CÁLCULO!$AA$15,0,1):OFFSET(CÁLCULO!$AL$59,0,-1))),2),0)</f>
        <v>0</v>
      </c>
      <c r="G19" s="267" t="str">
        <f aca="false">IF(AND(D19=0,F19&gt;0),"NOME",
 IF(AND(D19&lt;&gt;0,$F$14&gt;0,F19=0),"VALOR",
 IF(AND(Import.TipoArredondamento="TransfereGOV",$A19="F",LEN(D19)&gt;100),"Nome &gt;100","")))</f>
        <v/>
      </c>
      <c r="H19" s="265" t="n">
        <f aca="true" t="array" ref="H19:H19">IF(AUTOEVENTO="Manual",ROUND(SUMPRODUCT((CÁLCULO!$M$15:$M$59=EVENTOS!$C19)*(OFFSET(CÁLCULO!$AA$15:$AA$59,0,H$13))),2),0)</f>
        <v>0</v>
      </c>
      <c r="I19" s="265" t="n">
        <f aca="true" t="array" ref="I19:I19">IF(AUTOEVENTO="Manual",ROUND(SUMPRODUCT((CÁLCULO!$M$15:$M$59=EVENTOS!$C19)*(OFFSET(CÁLCULO!$AA$15:$AA$59,0,I$13))),2),0)</f>
        <v>0</v>
      </c>
      <c r="J19" s="265" t="n">
        <f aca="true" t="array" ref="J19:J19">IF(AUTOEVENTO="Manual",ROUND(SUMPRODUCT((CÁLCULO!$M$15:$M$59=EVENTOS!$C19)*(OFFSET(CÁLCULO!$AA$15:$AA$59,0,J$13))),2),0)</f>
        <v>0</v>
      </c>
      <c r="K19" s="265" t="n">
        <f aca="true" t="array" ref="K19:K19">IF(AUTOEVENTO="Manual",ROUND(SUMPRODUCT((CÁLCULO!$M$15:$M$59=EVENTOS!$C19)*(OFFSET(CÁLCULO!$AA$15:$AA$59,0,K$13))),2),0)</f>
        <v>0</v>
      </c>
      <c r="L19" s="265" t="n">
        <f aca="true" t="array" ref="L19:L19">IF(AUTOEVENTO="Manual",ROUND(SUMPRODUCT((CÁLCULO!$M$15:$M$59=EVENTOS!$C19)*(OFFSET(CÁLCULO!$AA$15:$AA$59,0,L$13))),2),0)</f>
        <v>0</v>
      </c>
      <c r="M19" s="265" t="n">
        <f aca="true" t="array" ref="M19:M19">IF(AUTOEVENTO="Manual",ROUND(SUMPRODUCT((CÁLCULO!$M$15:$M$59=EVENTOS!$C19)*(OFFSET(CÁLCULO!$AA$15:$AA$59,0,M$13))),2),0)</f>
        <v>0</v>
      </c>
      <c r="N19" s="265" t="n">
        <f aca="true" t="array" ref="N19:N19">IF(AUTOEVENTO="Manual",ROUND(SUMPRODUCT((CÁLCULO!$M$15:$M$59=EVENTOS!$C19)*(OFFSET(CÁLCULO!$AA$15:$AA$59,0,N$13))),2),0)</f>
        <v>0</v>
      </c>
      <c r="O19" s="265" t="n">
        <f aca="true" t="array" ref="O19:O19">IF(AUTOEVENTO="Manual",ROUND(SUMPRODUCT((CÁLCULO!$M$15:$M$59=EVENTOS!$C19)*(OFFSET(CÁLCULO!$AA$15:$AA$59,0,O$13))),2),0)</f>
        <v>0</v>
      </c>
      <c r="P19" s="265" t="n">
        <f aca="true" t="array" ref="P19:P19">IF(AUTOEVENTO="Manual",ROUND(SUMPRODUCT((CÁLCULO!$M$15:$M$59=EVENTOS!$C19)*(OFFSET(CÁLCULO!$AA$15:$AA$59,0,P$13))),2),0)</f>
        <v>0</v>
      </c>
      <c r="Q19" s="265" t="n">
        <f aca="true" t="array" ref="Q19:Q19">IF(AUTOEVENTO="Manual",ROUND(SUMPRODUCT((CÁLCULO!$M$15:$M$59=EVENTOS!$C19)*(OFFSET(CÁLCULO!$AA$15:$AA$59,0,Q$13))),2),0)</f>
        <v>0</v>
      </c>
      <c r="R19" s="265" t="n">
        <f aca="true" t="array" ref="R19:R19">IF(AUTOEVENTO="Manual",ROUND(SUMPRODUCT((CÁLCULO!$M$15:$M$59=EVENTOS!$C19)*(OFFSET(CÁLCULO!$AA$15:$AA$59,0,R$13))),2),0)</f>
        <v>0</v>
      </c>
      <c r="S19" s="265" t="n">
        <f aca="true" t="array" ref="S19:S19">IF(AUTOEVENTO="Manual",ROUND(SUMPRODUCT((CÁLCULO!$M$15:$M$59=EVENTOS!$C19)*(OFFSET(CÁLCULO!$AA$15:$AA$59,0,S$13))),2),0)</f>
        <v>0</v>
      </c>
      <c r="T19" s="265" t="n">
        <f aca="true" t="array" ref="T19:T19">IF(AUTOEVENTO="Manual",ROUND(SUMPRODUCT((CÁLCULO!$M$15:$M$59=EVENTOS!$C19)*(OFFSET(CÁLCULO!$AA$15:$AA$59,0,T$13))),2),0)</f>
        <v>0</v>
      </c>
      <c r="U19" s="265" t="n">
        <f aca="true" t="array" ref="U19:U19">IF(AUTOEVENTO="Manual",ROUND(SUMPRODUCT((CÁLCULO!$M$15:$M$59=EVENTOS!$C19)*(OFFSET(CÁLCULO!$AA$15:$AA$59,0,U$13))),2),0)</f>
        <v>0</v>
      </c>
      <c r="V19" s="265" t="n">
        <f aca="true" t="array" ref="V19:V19">IF(AUTOEVENTO="Manual",ROUND(SUMPRODUCT((CÁLCULO!$M$15:$M$59=EVENTOS!$C19)*(OFFSET(CÁLCULO!$AA$15:$AA$59,0,V$13))),2),0)</f>
        <v>0</v>
      </c>
      <c r="W19" s="265" t="n">
        <f aca="true" t="array" ref="W19:W19">IF(AUTOEVENTO="Manual",ROUND(SUMPRODUCT((CÁLCULO!$M$15:$M$59=EVENTOS!$C19)*(OFFSET(CÁLCULO!$AA$15:$AA$59,0,W$13))),2),0)</f>
        <v>0</v>
      </c>
      <c r="X19" s="265" t="n">
        <f aca="true" t="array" ref="X19:X19">IF(AUTOEVENTO="Manual",ROUND(SUMPRODUCT((CÁLCULO!$M$15:$M$59=EVENTOS!$C19)*(OFFSET(CÁLCULO!$AA$15:$AA$59,0,X$13))),2),0)</f>
        <v>0</v>
      </c>
      <c r="Y19" s="265" t="n">
        <f aca="true" t="array" ref="Y19:Y19">IF(AUTOEVENTO="Manual",ROUND(SUMPRODUCT((CÁLCULO!$M$15:$M$59=EVENTOS!$C19)*(OFFSET(CÁLCULO!$AA$15:$AA$59,0,Y$13))),2),0)</f>
        <v>0</v>
      </c>
    </row>
    <row r="20" customFormat="false" ht="12.75" hidden="false" customHeight="false" outlineLevel="0" collapsed="false">
      <c r="A20" s="178" t="str">
        <f aca="false">IF(D20="","","F")</f>
        <v/>
      </c>
      <c r="B20" s="0" t="str">
        <f aca="false">IF(OR(C20=" ",D20=""),"",CONCATENATE(C20,". ",D20))</f>
        <v/>
      </c>
      <c r="C20" s="263" t="str">
        <f aca="true" t="array" ref="C20:C20">IF(OR(ROW(C20)=ROW(EVENTOS.firstrow)+1,AND(OFFSET(C20,-1,0)&lt;&gt;" ",OFFSET(C20,-1,1)&lt;&gt;"")),OFFSET(C20,-1,0)+1," ")</f>
        <v> </v>
      </c>
      <c r="D20" s="264"/>
      <c r="E20" s="265" t="n">
        <f aca="true" t="array" ref="E20:E20">IF(AUTOEVENTO="Manual",ROUND(SUMPRODUCT((CÁLCULO!$M$15:$M$59=EVENTOS!$C20)*(OFFSET(CÁLCULO!$AA$15:$AA$59,0,E$13))),2),0)</f>
        <v>0</v>
      </c>
      <c r="F20" s="266" t="n">
        <f aca="true">IF(AUTOEVENTO="Manual",ROUND(SUMPRODUCT((CÁLCULO!$M$15:$M$59=EVENTOS!$C20)*(OFFSET(CÁLCULO!$AA$15,0,1):OFFSET(CÁLCULO!$AL$59,0,-1))),2),0)</f>
        <v>0</v>
      </c>
      <c r="G20" s="267" t="str">
        <f aca="false">IF(AND(D20=0,F20&gt;0),"NOME",
 IF(AND(D20&lt;&gt;0,$F$14&gt;0,F20=0),"VALOR",
 IF(AND(Import.TipoArredondamento="TransfereGOV",$A20="F",LEN(D20)&gt;100),"Nome &gt;100","")))</f>
        <v/>
      </c>
      <c r="H20" s="265" t="n">
        <f aca="true" t="array" ref="H20:H20">IF(AUTOEVENTO="Manual",ROUND(SUMPRODUCT((CÁLCULO!$M$15:$M$59=EVENTOS!$C20)*(OFFSET(CÁLCULO!$AA$15:$AA$59,0,H$13))),2),0)</f>
        <v>0</v>
      </c>
      <c r="I20" s="265" t="n">
        <f aca="true" t="array" ref="I20:I20">IF(AUTOEVENTO="Manual",ROUND(SUMPRODUCT((CÁLCULO!$M$15:$M$59=EVENTOS!$C20)*(OFFSET(CÁLCULO!$AA$15:$AA$59,0,I$13))),2),0)</f>
        <v>0</v>
      </c>
      <c r="J20" s="265" t="n">
        <f aca="true" t="array" ref="J20:J20">IF(AUTOEVENTO="Manual",ROUND(SUMPRODUCT((CÁLCULO!$M$15:$M$59=EVENTOS!$C20)*(OFFSET(CÁLCULO!$AA$15:$AA$59,0,J$13))),2),0)</f>
        <v>0</v>
      </c>
      <c r="K20" s="265" t="n">
        <f aca="true" t="array" ref="K20:K20">IF(AUTOEVENTO="Manual",ROUND(SUMPRODUCT((CÁLCULO!$M$15:$M$59=EVENTOS!$C20)*(OFFSET(CÁLCULO!$AA$15:$AA$59,0,K$13))),2),0)</f>
        <v>0</v>
      </c>
      <c r="L20" s="265" t="n">
        <f aca="true" t="array" ref="L20:L20">IF(AUTOEVENTO="Manual",ROUND(SUMPRODUCT((CÁLCULO!$M$15:$M$59=EVENTOS!$C20)*(OFFSET(CÁLCULO!$AA$15:$AA$59,0,L$13))),2),0)</f>
        <v>0</v>
      </c>
      <c r="M20" s="265" t="n">
        <f aca="true" t="array" ref="M20:M20">IF(AUTOEVENTO="Manual",ROUND(SUMPRODUCT((CÁLCULO!$M$15:$M$59=EVENTOS!$C20)*(OFFSET(CÁLCULO!$AA$15:$AA$59,0,M$13))),2),0)</f>
        <v>0</v>
      </c>
      <c r="N20" s="265" t="n">
        <f aca="true" t="array" ref="N20:N20">IF(AUTOEVENTO="Manual",ROUND(SUMPRODUCT((CÁLCULO!$M$15:$M$59=EVENTOS!$C20)*(OFFSET(CÁLCULO!$AA$15:$AA$59,0,N$13))),2),0)</f>
        <v>0</v>
      </c>
      <c r="O20" s="265" t="n">
        <f aca="true" t="array" ref="O20:O20">IF(AUTOEVENTO="Manual",ROUND(SUMPRODUCT((CÁLCULO!$M$15:$M$59=EVENTOS!$C20)*(OFFSET(CÁLCULO!$AA$15:$AA$59,0,O$13))),2),0)</f>
        <v>0</v>
      </c>
      <c r="P20" s="265" t="n">
        <f aca="true" t="array" ref="P20:P20">IF(AUTOEVENTO="Manual",ROUND(SUMPRODUCT((CÁLCULO!$M$15:$M$59=EVENTOS!$C20)*(OFFSET(CÁLCULO!$AA$15:$AA$59,0,P$13))),2),0)</f>
        <v>0</v>
      </c>
      <c r="Q20" s="265" t="n">
        <f aca="true" t="array" ref="Q20:Q20">IF(AUTOEVENTO="Manual",ROUND(SUMPRODUCT((CÁLCULO!$M$15:$M$59=EVENTOS!$C20)*(OFFSET(CÁLCULO!$AA$15:$AA$59,0,Q$13))),2),0)</f>
        <v>0</v>
      </c>
      <c r="R20" s="265" t="n">
        <f aca="true" t="array" ref="R20:R20">IF(AUTOEVENTO="Manual",ROUND(SUMPRODUCT((CÁLCULO!$M$15:$M$59=EVENTOS!$C20)*(OFFSET(CÁLCULO!$AA$15:$AA$59,0,R$13))),2),0)</f>
        <v>0</v>
      </c>
      <c r="S20" s="265" t="n">
        <f aca="true" t="array" ref="S20:S20">IF(AUTOEVENTO="Manual",ROUND(SUMPRODUCT((CÁLCULO!$M$15:$M$59=EVENTOS!$C20)*(OFFSET(CÁLCULO!$AA$15:$AA$59,0,S$13))),2),0)</f>
        <v>0</v>
      </c>
      <c r="T20" s="265" t="n">
        <f aca="true" t="array" ref="T20:T20">IF(AUTOEVENTO="Manual",ROUND(SUMPRODUCT((CÁLCULO!$M$15:$M$59=EVENTOS!$C20)*(OFFSET(CÁLCULO!$AA$15:$AA$59,0,T$13))),2),0)</f>
        <v>0</v>
      </c>
      <c r="U20" s="265" t="n">
        <f aca="true" t="array" ref="U20:U20">IF(AUTOEVENTO="Manual",ROUND(SUMPRODUCT((CÁLCULO!$M$15:$M$59=EVENTOS!$C20)*(OFFSET(CÁLCULO!$AA$15:$AA$59,0,U$13))),2),0)</f>
        <v>0</v>
      </c>
      <c r="V20" s="265" t="n">
        <f aca="true" t="array" ref="V20:V20">IF(AUTOEVENTO="Manual",ROUND(SUMPRODUCT((CÁLCULO!$M$15:$M$59=EVENTOS!$C20)*(OFFSET(CÁLCULO!$AA$15:$AA$59,0,V$13))),2),0)</f>
        <v>0</v>
      </c>
      <c r="W20" s="265" t="n">
        <f aca="true" t="array" ref="W20:W20">IF(AUTOEVENTO="Manual",ROUND(SUMPRODUCT((CÁLCULO!$M$15:$M$59=EVENTOS!$C20)*(OFFSET(CÁLCULO!$AA$15:$AA$59,0,W$13))),2),0)</f>
        <v>0</v>
      </c>
      <c r="X20" s="265" t="n">
        <f aca="true" t="array" ref="X20:X20">IF(AUTOEVENTO="Manual",ROUND(SUMPRODUCT((CÁLCULO!$M$15:$M$59=EVENTOS!$C20)*(OFFSET(CÁLCULO!$AA$15:$AA$59,0,X$13))),2),0)</f>
        <v>0</v>
      </c>
      <c r="Y20" s="265" t="n">
        <f aca="true" t="array" ref="Y20:Y20">IF(AUTOEVENTO="Manual",ROUND(SUMPRODUCT((CÁLCULO!$M$15:$M$59=EVENTOS!$C20)*(OFFSET(CÁLCULO!$AA$15:$AA$59,0,Y$13))),2),0)</f>
        <v>0</v>
      </c>
    </row>
    <row r="21" customFormat="false" ht="12.75" hidden="false" customHeight="false" outlineLevel="0" collapsed="false">
      <c r="A21" s="178" t="str">
        <f aca="false">IF(D21="","","F")</f>
        <v/>
      </c>
      <c r="B21" s="0" t="str">
        <f aca="false">IF(OR(C21=" ",D21=""),"",CONCATENATE(C21,". ",D21))</f>
        <v/>
      </c>
      <c r="C21" s="263" t="str">
        <f aca="true" t="array" ref="C21:C21">IF(OR(ROW(C21)=ROW(EVENTOS.firstrow)+1,AND(OFFSET(C21,-1,0)&lt;&gt;" ",OFFSET(C21,-1,1)&lt;&gt;"")),OFFSET(C21,-1,0)+1," ")</f>
        <v> </v>
      </c>
      <c r="D21" s="264"/>
      <c r="E21" s="265" t="n">
        <f aca="true" t="array" ref="E21:E21">IF(AUTOEVENTO="Manual",ROUND(SUMPRODUCT((CÁLCULO!$M$15:$M$59=EVENTOS!$C21)*(OFFSET(CÁLCULO!$AA$15:$AA$59,0,E$13))),2),0)</f>
        <v>0</v>
      </c>
      <c r="F21" s="266" t="n">
        <f aca="true">IF(AUTOEVENTO="Manual",ROUND(SUMPRODUCT((CÁLCULO!$M$15:$M$59=EVENTOS!$C21)*(OFFSET(CÁLCULO!$AA$15,0,1):OFFSET(CÁLCULO!$AL$59,0,-1))),2),0)</f>
        <v>0</v>
      </c>
      <c r="G21" s="267" t="str">
        <f aca="false">IF(AND(D21=0,F21&gt;0),"NOME",
 IF(AND(D21&lt;&gt;0,$F$14&gt;0,F21=0),"VALOR",
 IF(AND(Import.TipoArredondamento="TransfereGOV",$A21="F",LEN(D21)&gt;100),"Nome &gt;100","")))</f>
        <v/>
      </c>
      <c r="H21" s="265" t="n">
        <f aca="true" t="array" ref="H21:H21">IF(AUTOEVENTO="Manual",ROUND(SUMPRODUCT((CÁLCULO!$M$15:$M$59=EVENTOS!$C21)*(OFFSET(CÁLCULO!$AA$15:$AA$59,0,H$13))),2),0)</f>
        <v>0</v>
      </c>
      <c r="I21" s="265" t="n">
        <f aca="true" t="array" ref="I21:I21">IF(AUTOEVENTO="Manual",ROUND(SUMPRODUCT((CÁLCULO!$M$15:$M$59=EVENTOS!$C21)*(OFFSET(CÁLCULO!$AA$15:$AA$59,0,I$13))),2),0)</f>
        <v>0</v>
      </c>
      <c r="J21" s="265" t="n">
        <f aca="true" t="array" ref="J21:J21">IF(AUTOEVENTO="Manual",ROUND(SUMPRODUCT((CÁLCULO!$M$15:$M$59=EVENTOS!$C21)*(OFFSET(CÁLCULO!$AA$15:$AA$59,0,J$13))),2),0)</f>
        <v>0</v>
      </c>
      <c r="K21" s="265" t="n">
        <f aca="true" t="array" ref="K21:K21">IF(AUTOEVENTO="Manual",ROUND(SUMPRODUCT((CÁLCULO!$M$15:$M$59=EVENTOS!$C21)*(OFFSET(CÁLCULO!$AA$15:$AA$59,0,K$13))),2),0)</f>
        <v>0</v>
      </c>
      <c r="L21" s="265" t="n">
        <f aca="true" t="array" ref="L21:L21">IF(AUTOEVENTO="Manual",ROUND(SUMPRODUCT((CÁLCULO!$M$15:$M$59=EVENTOS!$C21)*(OFFSET(CÁLCULO!$AA$15:$AA$59,0,L$13))),2),0)</f>
        <v>0</v>
      </c>
      <c r="M21" s="265" t="n">
        <f aca="true" t="array" ref="M21:M21">IF(AUTOEVENTO="Manual",ROUND(SUMPRODUCT((CÁLCULO!$M$15:$M$59=EVENTOS!$C21)*(OFFSET(CÁLCULO!$AA$15:$AA$59,0,M$13))),2),0)</f>
        <v>0</v>
      </c>
      <c r="N21" s="265" t="n">
        <f aca="true" t="array" ref="N21:N21">IF(AUTOEVENTO="Manual",ROUND(SUMPRODUCT((CÁLCULO!$M$15:$M$59=EVENTOS!$C21)*(OFFSET(CÁLCULO!$AA$15:$AA$59,0,N$13))),2),0)</f>
        <v>0</v>
      </c>
      <c r="O21" s="265" t="n">
        <f aca="true" t="array" ref="O21:O21">IF(AUTOEVENTO="Manual",ROUND(SUMPRODUCT((CÁLCULO!$M$15:$M$59=EVENTOS!$C21)*(OFFSET(CÁLCULO!$AA$15:$AA$59,0,O$13))),2),0)</f>
        <v>0</v>
      </c>
      <c r="P21" s="265" t="n">
        <f aca="true" t="array" ref="P21:P21">IF(AUTOEVENTO="Manual",ROUND(SUMPRODUCT((CÁLCULO!$M$15:$M$59=EVENTOS!$C21)*(OFFSET(CÁLCULO!$AA$15:$AA$59,0,P$13))),2),0)</f>
        <v>0</v>
      </c>
      <c r="Q21" s="265" t="n">
        <f aca="true" t="array" ref="Q21:Q21">IF(AUTOEVENTO="Manual",ROUND(SUMPRODUCT((CÁLCULO!$M$15:$M$59=EVENTOS!$C21)*(OFFSET(CÁLCULO!$AA$15:$AA$59,0,Q$13))),2),0)</f>
        <v>0</v>
      </c>
      <c r="R21" s="265" t="n">
        <f aca="true" t="array" ref="R21:R21">IF(AUTOEVENTO="Manual",ROUND(SUMPRODUCT((CÁLCULO!$M$15:$M$59=EVENTOS!$C21)*(OFFSET(CÁLCULO!$AA$15:$AA$59,0,R$13))),2),0)</f>
        <v>0</v>
      </c>
      <c r="S21" s="265" t="n">
        <f aca="true" t="array" ref="S21:S21">IF(AUTOEVENTO="Manual",ROUND(SUMPRODUCT((CÁLCULO!$M$15:$M$59=EVENTOS!$C21)*(OFFSET(CÁLCULO!$AA$15:$AA$59,0,S$13))),2),0)</f>
        <v>0</v>
      </c>
      <c r="T21" s="265" t="n">
        <f aca="true" t="array" ref="T21:T21">IF(AUTOEVENTO="Manual",ROUND(SUMPRODUCT((CÁLCULO!$M$15:$M$59=EVENTOS!$C21)*(OFFSET(CÁLCULO!$AA$15:$AA$59,0,T$13))),2),0)</f>
        <v>0</v>
      </c>
      <c r="U21" s="265" t="n">
        <f aca="true" t="array" ref="U21:U21">IF(AUTOEVENTO="Manual",ROUND(SUMPRODUCT((CÁLCULO!$M$15:$M$59=EVENTOS!$C21)*(OFFSET(CÁLCULO!$AA$15:$AA$59,0,U$13))),2),0)</f>
        <v>0</v>
      </c>
      <c r="V21" s="265" t="n">
        <f aca="true" t="array" ref="V21:V21">IF(AUTOEVENTO="Manual",ROUND(SUMPRODUCT((CÁLCULO!$M$15:$M$59=EVENTOS!$C21)*(OFFSET(CÁLCULO!$AA$15:$AA$59,0,V$13))),2),0)</f>
        <v>0</v>
      </c>
      <c r="W21" s="265" t="n">
        <f aca="true" t="array" ref="W21:W21">IF(AUTOEVENTO="Manual",ROUND(SUMPRODUCT((CÁLCULO!$M$15:$M$59=EVENTOS!$C21)*(OFFSET(CÁLCULO!$AA$15:$AA$59,0,W$13))),2),0)</f>
        <v>0</v>
      </c>
      <c r="X21" s="265" t="n">
        <f aca="true" t="array" ref="X21:X21">IF(AUTOEVENTO="Manual",ROUND(SUMPRODUCT((CÁLCULO!$M$15:$M$59=EVENTOS!$C21)*(OFFSET(CÁLCULO!$AA$15:$AA$59,0,X$13))),2),0)</f>
        <v>0</v>
      </c>
      <c r="Y21" s="265" t="n">
        <f aca="true" t="array" ref="Y21:Y21">IF(AUTOEVENTO="Manual",ROUND(SUMPRODUCT((CÁLCULO!$M$15:$M$59=EVENTOS!$C21)*(OFFSET(CÁLCULO!$AA$15:$AA$59,0,Y$13))),2),0)</f>
        <v>0</v>
      </c>
    </row>
    <row r="22" customFormat="false" ht="12.75" hidden="false" customHeight="false" outlineLevel="0" collapsed="false">
      <c r="A22" s="178" t="str">
        <f aca="false">IF(D22="","","F")</f>
        <v/>
      </c>
      <c r="B22" s="0" t="str">
        <f aca="false">IF(OR(C22=" ",D22=""),"",CONCATENATE(C22,". ",D22))</f>
        <v/>
      </c>
      <c r="C22" s="263" t="str">
        <f aca="true" t="array" ref="C22:C22">IF(OR(ROW(C22)=ROW(EVENTOS.firstrow)+1,AND(OFFSET(C22,-1,0)&lt;&gt;" ",OFFSET(C22,-1,1)&lt;&gt;"")),OFFSET(C22,-1,0)+1," ")</f>
        <v> </v>
      </c>
      <c r="D22" s="264"/>
      <c r="E22" s="265" t="n">
        <f aca="true" t="array" ref="E22:E22">IF(AUTOEVENTO="Manual",ROUND(SUMPRODUCT((CÁLCULO!$M$15:$M$59=EVENTOS!$C22)*(OFFSET(CÁLCULO!$AA$15:$AA$59,0,E$13))),2),0)</f>
        <v>0</v>
      </c>
      <c r="F22" s="266" t="n">
        <f aca="true">IF(AUTOEVENTO="Manual",ROUND(SUMPRODUCT((CÁLCULO!$M$15:$M$59=EVENTOS!$C22)*(OFFSET(CÁLCULO!$AA$15,0,1):OFFSET(CÁLCULO!$AL$59,0,-1))),2),0)</f>
        <v>0</v>
      </c>
      <c r="G22" s="267" t="str">
        <f aca="false">IF(AND(D22=0,F22&gt;0),"NOME",
 IF(AND(D22&lt;&gt;0,$F$14&gt;0,F22=0),"VALOR",
 IF(AND(Import.TipoArredondamento="TransfereGOV",$A22="F",LEN(D22)&gt;100),"Nome &gt;100","")))</f>
        <v/>
      </c>
      <c r="H22" s="265" t="n">
        <f aca="true" t="array" ref="H22:H22">IF(AUTOEVENTO="Manual",ROUND(SUMPRODUCT((CÁLCULO!$M$15:$M$59=EVENTOS!$C22)*(OFFSET(CÁLCULO!$AA$15:$AA$59,0,H$13))),2),0)</f>
        <v>0</v>
      </c>
      <c r="I22" s="265" t="n">
        <f aca="true" t="array" ref="I22:I22">IF(AUTOEVENTO="Manual",ROUND(SUMPRODUCT((CÁLCULO!$M$15:$M$59=EVENTOS!$C22)*(OFFSET(CÁLCULO!$AA$15:$AA$59,0,I$13))),2),0)</f>
        <v>0</v>
      </c>
      <c r="J22" s="265" t="n">
        <f aca="true" t="array" ref="J22:J22">IF(AUTOEVENTO="Manual",ROUND(SUMPRODUCT((CÁLCULO!$M$15:$M$59=EVENTOS!$C22)*(OFFSET(CÁLCULO!$AA$15:$AA$59,0,J$13))),2),0)</f>
        <v>0</v>
      </c>
      <c r="K22" s="265" t="n">
        <f aca="true" t="array" ref="K22:K22">IF(AUTOEVENTO="Manual",ROUND(SUMPRODUCT((CÁLCULO!$M$15:$M$59=EVENTOS!$C22)*(OFFSET(CÁLCULO!$AA$15:$AA$59,0,K$13))),2),0)</f>
        <v>0</v>
      </c>
      <c r="L22" s="265" t="n">
        <f aca="true" t="array" ref="L22:L22">IF(AUTOEVENTO="Manual",ROUND(SUMPRODUCT((CÁLCULO!$M$15:$M$59=EVENTOS!$C22)*(OFFSET(CÁLCULO!$AA$15:$AA$59,0,L$13))),2),0)</f>
        <v>0</v>
      </c>
      <c r="M22" s="265" t="n">
        <f aca="true" t="array" ref="M22:M22">IF(AUTOEVENTO="Manual",ROUND(SUMPRODUCT((CÁLCULO!$M$15:$M$59=EVENTOS!$C22)*(OFFSET(CÁLCULO!$AA$15:$AA$59,0,M$13))),2),0)</f>
        <v>0</v>
      </c>
      <c r="N22" s="265" t="n">
        <f aca="true" t="array" ref="N22:N22">IF(AUTOEVENTO="Manual",ROUND(SUMPRODUCT((CÁLCULO!$M$15:$M$59=EVENTOS!$C22)*(OFFSET(CÁLCULO!$AA$15:$AA$59,0,N$13))),2),0)</f>
        <v>0</v>
      </c>
      <c r="O22" s="265" t="n">
        <f aca="true" t="array" ref="O22:O22">IF(AUTOEVENTO="Manual",ROUND(SUMPRODUCT((CÁLCULO!$M$15:$M$59=EVENTOS!$C22)*(OFFSET(CÁLCULO!$AA$15:$AA$59,0,O$13))),2),0)</f>
        <v>0</v>
      </c>
      <c r="P22" s="265" t="n">
        <f aca="true" t="array" ref="P22:P22">IF(AUTOEVENTO="Manual",ROUND(SUMPRODUCT((CÁLCULO!$M$15:$M$59=EVENTOS!$C22)*(OFFSET(CÁLCULO!$AA$15:$AA$59,0,P$13))),2),0)</f>
        <v>0</v>
      </c>
      <c r="Q22" s="265" t="n">
        <f aca="true" t="array" ref="Q22:Q22">IF(AUTOEVENTO="Manual",ROUND(SUMPRODUCT((CÁLCULO!$M$15:$M$59=EVENTOS!$C22)*(OFFSET(CÁLCULO!$AA$15:$AA$59,0,Q$13))),2),0)</f>
        <v>0</v>
      </c>
      <c r="R22" s="265" t="n">
        <f aca="true" t="array" ref="R22:R22">IF(AUTOEVENTO="Manual",ROUND(SUMPRODUCT((CÁLCULO!$M$15:$M$59=EVENTOS!$C22)*(OFFSET(CÁLCULO!$AA$15:$AA$59,0,R$13))),2),0)</f>
        <v>0</v>
      </c>
      <c r="S22" s="265" t="n">
        <f aca="true" t="array" ref="S22:S22">IF(AUTOEVENTO="Manual",ROUND(SUMPRODUCT((CÁLCULO!$M$15:$M$59=EVENTOS!$C22)*(OFFSET(CÁLCULO!$AA$15:$AA$59,0,S$13))),2),0)</f>
        <v>0</v>
      </c>
      <c r="T22" s="265" t="n">
        <f aca="true" t="array" ref="T22:T22">IF(AUTOEVENTO="Manual",ROUND(SUMPRODUCT((CÁLCULO!$M$15:$M$59=EVENTOS!$C22)*(OFFSET(CÁLCULO!$AA$15:$AA$59,0,T$13))),2),0)</f>
        <v>0</v>
      </c>
      <c r="U22" s="265" t="n">
        <f aca="true" t="array" ref="U22:U22">IF(AUTOEVENTO="Manual",ROUND(SUMPRODUCT((CÁLCULO!$M$15:$M$59=EVENTOS!$C22)*(OFFSET(CÁLCULO!$AA$15:$AA$59,0,U$13))),2),0)</f>
        <v>0</v>
      </c>
      <c r="V22" s="265" t="n">
        <f aca="true" t="array" ref="V22:V22">IF(AUTOEVENTO="Manual",ROUND(SUMPRODUCT((CÁLCULO!$M$15:$M$59=EVENTOS!$C22)*(OFFSET(CÁLCULO!$AA$15:$AA$59,0,V$13))),2),0)</f>
        <v>0</v>
      </c>
      <c r="W22" s="265" t="n">
        <f aca="true" t="array" ref="W22:W22">IF(AUTOEVENTO="Manual",ROUND(SUMPRODUCT((CÁLCULO!$M$15:$M$59=EVENTOS!$C22)*(OFFSET(CÁLCULO!$AA$15:$AA$59,0,W$13))),2),0)</f>
        <v>0</v>
      </c>
      <c r="X22" s="265" t="n">
        <f aca="true" t="array" ref="X22:X22">IF(AUTOEVENTO="Manual",ROUND(SUMPRODUCT((CÁLCULO!$M$15:$M$59=EVENTOS!$C22)*(OFFSET(CÁLCULO!$AA$15:$AA$59,0,X$13))),2),0)</f>
        <v>0</v>
      </c>
      <c r="Y22" s="265" t="n">
        <f aca="true" t="array" ref="Y22:Y22">IF(AUTOEVENTO="Manual",ROUND(SUMPRODUCT((CÁLCULO!$M$15:$M$59=EVENTOS!$C22)*(OFFSET(CÁLCULO!$AA$15:$AA$59,0,Y$13))),2),0)</f>
        <v>0</v>
      </c>
    </row>
    <row r="23" customFormat="false" ht="12.75" hidden="false" customHeight="false" outlineLevel="0" collapsed="false">
      <c r="A23" s="178" t="str">
        <f aca="false">IF(D23="","","F")</f>
        <v/>
      </c>
      <c r="B23" s="0" t="str">
        <f aca="false">IF(OR(C23=" ",D23=""),"",CONCATENATE(C23,". ",D23))</f>
        <v/>
      </c>
      <c r="C23" s="263" t="str">
        <f aca="true" t="array" ref="C23:C23">IF(OR(ROW(C23)=ROW(EVENTOS.firstrow)+1,AND(OFFSET(C23,-1,0)&lt;&gt;" ",OFFSET(C23,-1,1)&lt;&gt;"")),OFFSET(C23,-1,0)+1," ")</f>
        <v> </v>
      </c>
      <c r="D23" s="264"/>
      <c r="E23" s="265" t="n">
        <f aca="true" t="array" ref="E23:E23">IF(AUTOEVENTO="Manual",ROUND(SUMPRODUCT((CÁLCULO!$M$15:$M$59=EVENTOS!$C23)*(OFFSET(CÁLCULO!$AA$15:$AA$59,0,E$13))),2),0)</f>
        <v>0</v>
      </c>
      <c r="F23" s="266" t="n">
        <f aca="true">IF(AUTOEVENTO="Manual",ROUND(SUMPRODUCT((CÁLCULO!$M$15:$M$59=EVENTOS!$C23)*(OFFSET(CÁLCULO!$AA$15,0,1):OFFSET(CÁLCULO!$AL$59,0,-1))),2),0)</f>
        <v>0</v>
      </c>
      <c r="G23" s="267" t="str">
        <f aca="false">IF(AND(D23=0,F23&gt;0),"NOME",
 IF(AND(D23&lt;&gt;0,$F$14&gt;0,F23=0),"VALOR",
 IF(AND(Import.TipoArredondamento="TransfereGOV",$A23="F",LEN(D23)&gt;100),"Nome &gt;100","")))</f>
        <v/>
      </c>
      <c r="H23" s="265" t="n">
        <f aca="true" t="array" ref="H23:H23">IF(AUTOEVENTO="Manual",ROUND(SUMPRODUCT((CÁLCULO!$M$15:$M$59=EVENTOS!$C23)*(OFFSET(CÁLCULO!$AA$15:$AA$59,0,H$13))),2),0)</f>
        <v>0</v>
      </c>
      <c r="I23" s="265" t="n">
        <f aca="true" t="array" ref="I23:I23">IF(AUTOEVENTO="Manual",ROUND(SUMPRODUCT((CÁLCULO!$M$15:$M$59=EVENTOS!$C23)*(OFFSET(CÁLCULO!$AA$15:$AA$59,0,I$13))),2),0)</f>
        <v>0</v>
      </c>
      <c r="J23" s="265" t="n">
        <f aca="true" t="array" ref="J23:J23">IF(AUTOEVENTO="Manual",ROUND(SUMPRODUCT((CÁLCULO!$M$15:$M$59=EVENTOS!$C23)*(OFFSET(CÁLCULO!$AA$15:$AA$59,0,J$13))),2),0)</f>
        <v>0</v>
      </c>
      <c r="K23" s="265" t="n">
        <f aca="true" t="array" ref="K23:K23">IF(AUTOEVENTO="Manual",ROUND(SUMPRODUCT((CÁLCULO!$M$15:$M$59=EVENTOS!$C23)*(OFFSET(CÁLCULO!$AA$15:$AA$59,0,K$13))),2),0)</f>
        <v>0</v>
      </c>
      <c r="L23" s="265" t="n">
        <f aca="true" t="array" ref="L23:L23">IF(AUTOEVENTO="Manual",ROUND(SUMPRODUCT((CÁLCULO!$M$15:$M$59=EVENTOS!$C23)*(OFFSET(CÁLCULO!$AA$15:$AA$59,0,L$13))),2),0)</f>
        <v>0</v>
      </c>
      <c r="M23" s="265" t="n">
        <f aca="true" t="array" ref="M23:M23">IF(AUTOEVENTO="Manual",ROUND(SUMPRODUCT((CÁLCULO!$M$15:$M$59=EVENTOS!$C23)*(OFFSET(CÁLCULO!$AA$15:$AA$59,0,M$13))),2),0)</f>
        <v>0</v>
      </c>
      <c r="N23" s="265" t="n">
        <f aca="true" t="array" ref="N23:N23">IF(AUTOEVENTO="Manual",ROUND(SUMPRODUCT((CÁLCULO!$M$15:$M$59=EVENTOS!$C23)*(OFFSET(CÁLCULO!$AA$15:$AA$59,0,N$13))),2),0)</f>
        <v>0</v>
      </c>
      <c r="O23" s="265" t="n">
        <f aca="true" t="array" ref="O23:O23">IF(AUTOEVENTO="Manual",ROUND(SUMPRODUCT((CÁLCULO!$M$15:$M$59=EVENTOS!$C23)*(OFFSET(CÁLCULO!$AA$15:$AA$59,0,O$13))),2),0)</f>
        <v>0</v>
      </c>
      <c r="P23" s="265" t="n">
        <f aca="true" t="array" ref="P23:P23">IF(AUTOEVENTO="Manual",ROUND(SUMPRODUCT((CÁLCULO!$M$15:$M$59=EVENTOS!$C23)*(OFFSET(CÁLCULO!$AA$15:$AA$59,0,P$13))),2),0)</f>
        <v>0</v>
      </c>
      <c r="Q23" s="265" t="n">
        <f aca="true" t="array" ref="Q23:Q23">IF(AUTOEVENTO="Manual",ROUND(SUMPRODUCT((CÁLCULO!$M$15:$M$59=EVENTOS!$C23)*(OFFSET(CÁLCULO!$AA$15:$AA$59,0,Q$13))),2),0)</f>
        <v>0</v>
      </c>
      <c r="R23" s="265" t="n">
        <f aca="true" t="array" ref="R23:R23">IF(AUTOEVENTO="Manual",ROUND(SUMPRODUCT((CÁLCULO!$M$15:$M$59=EVENTOS!$C23)*(OFFSET(CÁLCULO!$AA$15:$AA$59,0,R$13))),2),0)</f>
        <v>0</v>
      </c>
      <c r="S23" s="265" t="n">
        <f aca="true" t="array" ref="S23:S23">IF(AUTOEVENTO="Manual",ROUND(SUMPRODUCT((CÁLCULO!$M$15:$M$59=EVENTOS!$C23)*(OFFSET(CÁLCULO!$AA$15:$AA$59,0,S$13))),2),0)</f>
        <v>0</v>
      </c>
      <c r="T23" s="265" t="n">
        <f aca="true" t="array" ref="T23:T23">IF(AUTOEVENTO="Manual",ROUND(SUMPRODUCT((CÁLCULO!$M$15:$M$59=EVENTOS!$C23)*(OFFSET(CÁLCULO!$AA$15:$AA$59,0,T$13))),2),0)</f>
        <v>0</v>
      </c>
      <c r="U23" s="265" t="n">
        <f aca="true" t="array" ref="U23:U23">IF(AUTOEVENTO="Manual",ROUND(SUMPRODUCT((CÁLCULO!$M$15:$M$59=EVENTOS!$C23)*(OFFSET(CÁLCULO!$AA$15:$AA$59,0,U$13))),2),0)</f>
        <v>0</v>
      </c>
      <c r="V23" s="265" t="n">
        <f aca="true" t="array" ref="V23:V23">IF(AUTOEVENTO="Manual",ROUND(SUMPRODUCT((CÁLCULO!$M$15:$M$59=EVENTOS!$C23)*(OFFSET(CÁLCULO!$AA$15:$AA$59,0,V$13))),2),0)</f>
        <v>0</v>
      </c>
      <c r="W23" s="265" t="n">
        <f aca="true" t="array" ref="W23:W23">IF(AUTOEVENTO="Manual",ROUND(SUMPRODUCT((CÁLCULO!$M$15:$M$59=EVENTOS!$C23)*(OFFSET(CÁLCULO!$AA$15:$AA$59,0,W$13))),2),0)</f>
        <v>0</v>
      </c>
      <c r="X23" s="265" t="n">
        <f aca="true" t="array" ref="X23:X23">IF(AUTOEVENTO="Manual",ROUND(SUMPRODUCT((CÁLCULO!$M$15:$M$59=EVENTOS!$C23)*(OFFSET(CÁLCULO!$AA$15:$AA$59,0,X$13))),2),0)</f>
        <v>0</v>
      </c>
      <c r="Y23" s="265" t="n">
        <f aca="true" t="array" ref="Y23:Y23">IF(AUTOEVENTO="Manual",ROUND(SUMPRODUCT((CÁLCULO!$M$15:$M$59=EVENTOS!$C23)*(OFFSET(CÁLCULO!$AA$15:$AA$59,0,Y$13))),2),0)</f>
        <v>0</v>
      </c>
    </row>
    <row r="24" customFormat="false" ht="12.75" hidden="false" customHeight="false" outlineLevel="0" collapsed="false">
      <c r="A24" s="178" t="str">
        <f aca="false">IF(D24="","","F")</f>
        <v/>
      </c>
      <c r="B24" s="0" t="str">
        <f aca="false">IF(OR(C24=" ",D24=""),"",CONCATENATE(C24,". ",D24))</f>
        <v/>
      </c>
      <c r="C24" s="263" t="str">
        <f aca="true" t="array" ref="C24:C24">IF(OR(ROW(C24)=ROW(EVENTOS.firstrow)+1,AND(OFFSET(C24,-1,0)&lt;&gt;" ",OFFSET(C24,-1,1)&lt;&gt;"")),OFFSET(C24,-1,0)+1," ")</f>
        <v> </v>
      </c>
      <c r="D24" s="264"/>
      <c r="E24" s="265" t="n">
        <f aca="true" t="array" ref="E24:E24">IF(AUTOEVENTO="Manual",ROUND(SUMPRODUCT((CÁLCULO!$M$15:$M$59=EVENTOS!$C24)*(OFFSET(CÁLCULO!$AA$15:$AA$59,0,E$13))),2),0)</f>
        <v>0</v>
      </c>
      <c r="F24" s="266" t="n">
        <f aca="true">IF(AUTOEVENTO="Manual",ROUND(SUMPRODUCT((CÁLCULO!$M$15:$M$59=EVENTOS!$C24)*(OFFSET(CÁLCULO!$AA$15,0,1):OFFSET(CÁLCULO!$AL$59,0,-1))),2),0)</f>
        <v>0</v>
      </c>
      <c r="G24" s="267" t="str">
        <f aca="false">IF(AND(D24=0,F24&gt;0),"NOME",
 IF(AND(D24&lt;&gt;0,$F$14&gt;0,F24=0),"VALOR",
 IF(AND(Import.TipoArredondamento="TransfereGOV",$A24="F",LEN(D24)&gt;100),"Nome &gt;100","")))</f>
        <v/>
      </c>
      <c r="H24" s="265" t="n">
        <f aca="true" t="array" ref="H24:H24">IF(AUTOEVENTO="Manual",ROUND(SUMPRODUCT((CÁLCULO!$M$15:$M$59=EVENTOS!$C24)*(OFFSET(CÁLCULO!$AA$15:$AA$59,0,H$13))),2),0)</f>
        <v>0</v>
      </c>
      <c r="I24" s="265" t="n">
        <f aca="true" t="array" ref="I24:I24">IF(AUTOEVENTO="Manual",ROUND(SUMPRODUCT((CÁLCULO!$M$15:$M$59=EVENTOS!$C24)*(OFFSET(CÁLCULO!$AA$15:$AA$59,0,I$13))),2),0)</f>
        <v>0</v>
      </c>
      <c r="J24" s="265" t="n">
        <f aca="true" t="array" ref="J24:J24">IF(AUTOEVENTO="Manual",ROUND(SUMPRODUCT((CÁLCULO!$M$15:$M$59=EVENTOS!$C24)*(OFFSET(CÁLCULO!$AA$15:$AA$59,0,J$13))),2),0)</f>
        <v>0</v>
      </c>
      <c r="K24" s="265" t="n">
        <f aca="true" t="array" ref="K24:K24">IF(AUTOEVENTO="Manual",ROUND(SUMPRODUCT((CÁLCULO!$M$15:$M$59=EVENTOS!$C24)*(OFFSET(CÁLCULO!$AA$15:$AA$59,0,K$13))),2),0)</f>
        <v>0</v>
      </c>
      <c r="L24" s="265" t="n">
        <f aca="true" t="array" ref="L24:L24">IF(AUTOEVENTO="Manual",ROUND(SUMPRODUCT((CÁLCULO!$M$15:$M$59=EVENTOS!$C24)*(OFFSET(CÁLCULO!$AA$15:$AA$59,0,L$13))),2),0)</f>
        <v>0</v>
      </c>
      <c r="M24" s="265" t="n">
        <f aca="true" t="array" ref="M24:M24">IF(AUTOEVENTO="Manual",ROUND(SUMPRODUCT((CÁLCULO!$M$15:$M$59=EVENTOS!$C24)*(OFFSET(CÁLCULO!$AA$15:$AA$59,0,M$13))),2),0)</f>
        <v>0</v>
      </c>
      <c r="N24" s="265" t="n">
        <f aca="true" t="array" ref="N24:N24">IF(AUTOEVENTO="Manual",ROUND(SUMPRODUCT((CÁLCULO!$M$15:$M$59=EVENTOS!$C24)*(OFFSET(CÁLCULO!$AA$15:$AA$59,0,N$13))),2),0)</f>
        <v>0</v>
      </c>
      <c r="O24" s="265" t="n">
        <f aca="true" t="array" ref="O24:O24">IF(AUTOEVENTO="Manual",ROUND(SUMPRODUCT((CÁLCULO!$M$15:$M$59=EVENTOS!$C24)*(OFFSET(CÁLCULO!$AA$15:$AA$59,0,O$13))),2),0)</f>
        <v>0</v>
      </c>
      <c r="P24" s="265" t="n">
        <f aca="true" t="array" ref="P24:P24">IF(AUTOEVENTO="Manual",ROUND(SUMPRODUCT((CÁLCULO!$M$15:$M$59=EVENTOS!$C24)*(OFFSET(CÁLCULO!$AA$15:$AA$59,0,P$13))),2),0)</f>
        <v>0</v>
      </c>
      <c r="Q24" s="265" t="n">
        <f aca="true" t="array" ref="Q24:Q24">IF(AUTOEVENTO="Manual",ROUND(SUMPRODUCT((CÁLCULO!$M$15:$M$59=EVENTOS!$C24)*(OFFSET(CÁLCULO!$AA$15:$AA$59,0,Q$13))),2),0)</f>
        <v>0</v>
      </c>
      <c r="R24" s="265" t="n">
        <f aca="true" t="array" ref="R24:R24">IF(AUTOEVENTO="Manual",ROUND(SUMPRODUCT((CÁLCULO!$M$15:$M$59=EVENTOS!$C24)*(OFFSET(CÁLCULO!$AA$15:$AA$59,0,R$13))),2),0)</f>
        <v>0</v>
      </c>
      <c r="S24" s="265" t="n">
        <f aca="true" t="array" ref="S24:S24">IF(AUTOEVENTO="Manual",ROUND(SUMPRODUCT((CÁLCULO!$M$15:$M$59=EVENTOS!$C24)*(OFFSET(CÁLCULO!$AA$15:$AA$59,0,S$13))),2),0)</f>
        <v>0</v>
      </c>
      <c r="T24" s="265" t="n">
        <f aca="true" t="array" ref="T24:T24">IF(AUTOEVENTO="Manual",ROUND(SUMPRODUCT((CÁLCULO!$M$15:$M$59=EVENTOS!$C24)*(OFFSET(CÁLCULO!$AA$15:$AA$59,0,T$13))),2),0)</f>
        <v>0</v>
      </c>
      <c r="U24" s="265" t="n">
        <f aca="true" t="array" ref="U24:U24">IF(AUTOEVENTO="Manual",ROUND(SUMPRODUCT((CÁLCULO!$M$15:$M$59=EVENTOS!$C24)*(OFFSET(CÁLCULO!$AA$15:$AA$59,0,U$13))),2),0)</f>
        <v>0</v>
      </c>
      <c r="V24" s="265" t="n">
        <f aca="true" t="array" ref="V24:V24">IF(AUTOEVENTO="Manual",ROUND(SUMPRODUCT((CÁLCULO!$M$15:$M$59=EVENTOS!$C24)*(OFFSET(CÁLCULO!$AA$15:$AA$59,0,V$13))),2),0)</f>
        <v>0</v>
      </c>
      <c r="W24" s="265" t="n">
        <f aca="true" t="array" ref="W24:W24">IF(AUTOEVENTO="Manual",ROUND(SUMPRODUCT((CÁLCULO!$M$15:$M$59=EVENTOS!$C24)*(OFFSET(CÁLCULO!$AA$15:$AA$59,0,W$13))),2),0)</f>
        <v>0</v>
      </c>
      <c r="X24" s="265" t="n">
        <f aca="true" t="array" ref="X24:X24">IF(AUTOEVENTO="Manual",ROUND(SUMPRODUCT((CÁLCULO!$M$15:$M$59=EVENTOS!$C24)*(OFFSET(CÁLCULO!$AA$15:$AA$59,0,X$13))),2),0)</f>
        <v>0</v>
      </c>
      <c r="Y24" s="265" t="n">
        <f aca="true" t="array" ref="Y24:Y24">IF(AUTOEVENTO="Manual",ROUND(SUMPRODUCT((CÁLCULO!$M$15:$M$59=EVENTOS!$C24)*(OFFSET(CÁLCULO!$AA$15:$AA$59,0,Y$13))),2),0)</f>
        <v>0</v>
      </c>
    </row>
    <row r="25" customFormat="false" ht="12.75" hidden="false" customHeight="false" outlineLevel="0" collapsed="false">
      <c r="A25" s="178" t="str">
        <f aca="false">IF(D25="","","F")</f>
        <v/>
      </c>
      <c r="B25" s="0" t="str">
        <f aca="false">IF(OR(C25=" ",D25=""),"",CONCATENATE(C25,". ",D25))</f>
        <v/>
      </c>
      <c r="C25" s="263" t="str">
        <f aca="true" t="array" ref="C25:C25">IF(OR(ROW(C25)=ROW(EVENTOS.firstrow)+1,AND(OFFSET(C25,-1,0)&lt;&gt;" ",OFFSET(C25,-1,1)&lt;&gt;"")),OFFSET(C25,-1,0)+1," ")</f>
        <v> </v>
      </c>
      <c r="D25" s="264"/>
      <c r="E25" s="265" t="n">
        <f aca="true" t="array" ref="E25:E25">IF(AUTOEVENTO="Manual",ROUND(SUMPRODUCT((CÁLCULO!$M$15:$M$59=EVENTOS!$C25)*(OFFSET(CÁLCULO!$AA$15:$AA$59,0,E$13))),2),0)</f>
        <v>0</v>
      </c>
      <c r="F25" s="266" t="n">
        <f aca="true">IF(AUTOEVENTO="Manual",ROUND(SUMPRODUCT((CÁLCULO!$M$15:$M$59=EVENTOS!$C25)*(OFFSET(CÁLCULO!$AA$15,0,1):OFFSET(CÁLCULO!$AL$59,0,-1))),2),0)</f>
        <v>0</v>
      </c>
      <c r="G25" s="267" t="str">
        <f aca="false">IF(AND(D25=0,F25&gt;0),"NOME",
 IF(AND(D25&lt;&gt;0,$F$14&gt;0,F25=0),"VALOR",
 IF(AND(Import.TipoArredondamento="TransfereGOV",$A25="F",LEN(D25)&gt;100),"Nome &gt;100","")))</f>
        <v/>
      </c>
      <c r="H25" s="265" t="n">
        <f aca="true" t="array" ref="H25:H25">IF(AUTOEVENTO="Manual",ROUND(SUMPRODUCT((CÁLCULO!$M$15:$M$59=EVENTOS!$C25)*(OFFSET(CÁLCULO!$AA$15:$AA$59,0,H$13))),2),0)</f>
        <v>0</v>
      </c>
      <c r="I25" s="265" t="n">
        <f aca="true" t="array" ref="I25:I25">IF(AUTOEVENTO="Manual",ROUND(SUMPRODUCT((CÁLCULO!$M$15:$M$59=EVENTOS!$C25)*(OFFSET(CÁLCULO!$AA$15:$AA$59,0,I$13))),2),0)</f>
        <v>0</v>
      </c>
      <c r="J25" s="265" t="n">
        <f aca="true" t="array" ref="J25:J25">IF(AUTOEVENTO="Manual",ROUND(SUMPRODUCT((CÁLCULO!$M$15:$M$59=EVENTOS!$C25)*(OFFSET(CÁLCULO!$AA$15:$AA$59,0,J$13))),2),0)</f>
        <v>0</v>
      </c>
      <c r="K25" s="265" t="n">
        <f aca="true" t="array" ref="K25:K25">IF(AUTOEVENTO="Manual",ROUND(SUMPRODUCT((CÁLCULO!$M$15:$M$59=EVENTOS!$C25)*(OFFSET(CÁLCULO!$AA$15:$AA$59,0,K$13))),2),0)</f>
        <v>0</v>
      </c>
      <c r="L25" s="265" t="n">
        <f aca="true" t="array" ref="L25:L25">IF(AUTOEVENTO="Manual",ROUND(SUMPRODUCT((CÁLCULO!$M$15:$M$59=EVENTOS!$C25)*(OFFSET(CÁLCULO!$AA$15:$AA$59,0,L$13))),2),0)</f>
        <v>0</v>
      </c>
      <c r="M25" s="265" t="n">
        <f aca="true" t="array" ref="M25:M25">IF(AUTOEVENTO="Manual",ROUND(SUMPRODUCT((CÁLCULO!$M$15:$M$59=EVENTOS!$C25)*(OFFSET(CÁLCULO!$AA$15:$AA$59,0,M$13))),2),0)</f>
        <v>0</v>
      </c>
      <c r="N25" s="265" t="n">
        <f aca="true" t="array" ref="N25:N25">IF(AUTOEVENTO="Manual",ROUND(SUMPRODUCT((CÁLCULO!$M$15:$M$59=EVENTOS!$C25)*(OFFSET(CÁLCULO!$AA$15:$AA$59,0,N$13))),2),0)</f>
        <v>0</v>
      </c>
      <c r="O25" s="265" t="n">
        <f aca="true" t="array" ref="O25:O25">IF(AUTOEVENTO="Manual",ROUND(SUMPRODUCT((CÁLCULO!$M$15:$M$59=EVENTOS!$C25)*(OFFSET(CÁLCULO!$AA$15:$AA$59,0,O$13))),2),0)</f>
        <v>0</v>
      </c>
      <c r="P25" s="265" t="n">
        <f aca="true" t="array" ref="P25:P25">IF(AUTOEVENTO="Manual",ROUND(SUMPRODUCT((CÁLCULO!$M$15:$M$59=EVENTOS!$C25)*(OFFSET(CÁLCULO!$AA$15:$AA$59,0,P$13))),2),0)</f>
        <v>0</v>
      </c>
      <c r="Q25" s="265" t="n">
        <f aca="true" t="array" ref="Q25:Q25">IF(AUTOEVENTO="Manual",ROUND(SUMPRODUCT((CÁLCULO!$M$15:$M$59=EVENTOS!$C25)*(OFFSET(CÁLCULO!$AA$15:$AA$59,0,Q$13))),2),0)</f>
        <v>0</v>
      </c>
      <c r="R25" s="265" t="n">
        <f aca="true" t="array" ref="R25:R25">IF(AUTOEVENTO="Manual",ROUND(SUMPRODUCT((CÁLCULO!$M$15:$M$59=EVENTOS!$C25)*(OFFSET(CÁLCULO!$AA$15:$AA$59,0,R$13))),2),0)</f>
        <v>0</v>
      </c>
      <c r="S25" s="265" t="n">
        <f aca="true" t="array" ref="S25:S25">IF(AUTOEVENTO="Manual",ROUND(SUMPRODUCT((CÁLCULO!$M$15:$M$59=EVENTOS!$C25)*(OFFSET(CÁLCULO!$AA$15:$AA$59,0,S$13))),2),0)</f>
        <v>0</v>
      </c>
      <c r="T25" s="265" t="n">
        <f aca="true" t="array" ref="T25:T25">IF(AUTOEVENTO="Manual",ROUND(SUMPRODUCT((CÁLCULO!$M$15:$M$59=EVENTOS!$C25)*(OFFSET(CÁLCULO!$AA$15:$AA$59,0,T$13))),2),0)</f>
        <v>0</v>
      </c>
      <c r="U25" s="265" t="n">
        <f aca="true" t="array" ref="U25:U25">IF(AUTOEVENTO="Manual",ROUND(SUMPRODUCT((CÁLCULO!$M$15:$M$59=EVENTOS!$C25)*(OFFSET(CÁLCULO!$AA$15:$AA$59,0,U$13))),2),0)</f>
        <v>0</v>
      </c>
      <c r="V25" s="265" t="n">
        <f aca="true" t="array" ref="V25:V25">IF(AUTOEVENTO="Manual",ROUND(SUMPRODUCT((CÁLCULO!$M$15:$M$59=EVENTOS!$C25)*(OFFSET(CÁLCULO!$AA$15:$AA$59,0,V$13))),2),0)</f>
        <v>0</v>
      </c>
      <c r="W25" s="265" t="n">
        <f aca="true" t="array" ref="W25:W25">IF(AUTOEVENTO="Manual",ROUND(SUMPRODUCT((CÁLCULO!$M$15:$M$59=EVENTOS!$C25)*(OFFSET(CÁLCULO!$AA$15:$AA$59,0,W$13))),2),0)</f>
        <v>0</v>
      </c>
      <c r="X25" s="265" t="n">
        <f aca="true" t="array" ref="X25:X25">IF(AUTOEVENTO="Manual",ROUND(SUMPRODUCT((CÁLCULO!$M$15:$M$59=EVENTOS!$C25)*(OFFSET(CÁLCULO!$AA$15:$AA$59,0,X$13))),2),0)</f>
        <v>0</v>
      </c>
      <c r="Y25" s="265" t="n">
        <f aca="true" t="array" ref="Y25:Y25">IF(AUTOEVENTO="Manual",ROUND(SUMPRODUCT((CÁLCULO!$M$15:$M$59=EVENTOS!$C25)*(OFFSET(CÁLCULO!$AA$15:$AA$59,0,Y$13))),2),0)</f>
        <v>0</v>
      </c>
    </row>
    <row r="26" customFormat="false" ht="12.75" hidden="false" customHeight="false" outlineLevel="0" collapsed="false">
      <c r="A26" s="178" t="str">
        <f aca="false">IF(D26="","","F")</f>
        <v/>
      </c>
      <c r="B26" s="0" t="str">
        <f aca="false">IF(OR(C26=" ",D26=""),"",CONCATENATE(C26,". ",D26))</f>
        <v/>
      </c>
      <c r="C26" s="263" t="str">
        <f aca="true" t="array" ref="C26:C26">IF(OR(ROW(C26)=ROW(EVENTOS.firstrow)+1,AND(OFFSET(C26,-1,0)&lt;&gt;" ",OFFSET(C26,-1,1)&lt;&gt;"")),OFFSET(C26,-1,0)+1," ")</f>
        <v> </v>
      </c>
      <c r="D26" s="264"/>
      <c r="E26" s="265" t="n">
        <f aca="true" t="array" ref="E26:E26">IF(AUTOEVENTO="Manual",ROUND(SUMPRODUCT((CÁLCULO!$M$15:$M$59=EVENTOS!$C26)*(OFFSET(CÁLCULO!$AA$15:$AA$59,0,E$13))),2),0)</f>
        <v>0</v>
      </c>
      <c r="F26" s="266" t="n">
        <f aca="true">IF(AUTOEVENTO="Manual",ROUND(SUMPRODUCT((CÁLCULO!$M$15:$M$59=EVENTOS!$C26)*(OFFSET(CÁLCULO!$AA$15,0,1):OFFSET(CÁLCULO!$AL$59,0,-1))),2),0)</f>
        <v>0</v>
      </c>
      <c r="G26" s="267" t="str">
        <f aca="false">IF(AND(D26=0,F26&gt;0),"NOME",
 IF(AND(D26&lt;&gt;0,$F$14&gt;0,F26=0),"VALOR",
 IF(AND(Import.TipoArredondamento="TransfereGOV",$A26="F",LEN(D26)&gt;100),"Nome &gt;100","")))</f>
        <v/>
      </c>
      <c r="H26" s="265" t="n">
        <f aca="true" t="array" ref="H26:H26">IF(AUTOEVENTO="Manual",ROUND(SUMPRODUCT((CÁLCULO!$M$15:$M$59=EVENTOS!$C26)*(OFFSET(CÁLCULO!$AA$15:$AA$59,0,H$13))),2),0)</f>
        <v>0</v>
      </c>
      <c r="I26" s="265" t="n">
        <f aca="true" t="array" ref="I26:I26">IF(AUTOEVENTO="Manual",ROUND(SUMPRODUCT((CÁLCULO!$M$15:$M$59=EVENTOS!$C26)*(OFFSET(CÁLCULO!$AA$15:$AA$59,0,I$13))),2),0)</f>
        <v>0</v>
      </c>
      <c r="J26" s="265" t="n">
        <f aca="true" t="array" ref="J26:J26">IF(AUTOEVENTO="Manual",ROUND(SUMPRODUCT((CÁLCULO!$M$15:$M$59=EVENTOS!$C26)*(OFFSET(CÁLCULO!$AA$15:$AA$59,0,J$13))),2),0)</f>
        <v>0</v>
      </c>
      <c r="K26" s="265" t="n">
        <f aca="true" t="array" ref="K26:K26">IF(AUTOEVENTO="Manual",ROUND(SUMPRODUCT((CÁLCULO!$M$15:$M$59=EVENTOS!$C26)*(OFFSET(CÁLCULO!$AA$15:$AA$59,0,K$13))),2),0)</f>
        <v>0</v>
      </c>
      <c r="L26" s="265" t="n">
        <f aca="true" t="array" ref="L26:L26">IF(AUTOEVENTO="Manual",ROUND(SUMPRODUCT((CÁLCULO!$M$15:$M$59=EVENTOS!$C26)*(OFFSET(CÁLCULO!$AA$15:$AA$59,0,L$13))),2),0)</f>
        <v>0</v>
      </c>
      <c r="M26" s="265" t="n">
        <f aca="true" t="array" ref="M26:M26">IF(AUTOEVENTO="Manual",ROUND(SUMPRODUCT((CÁLCULO!$M$15:$M$59=EVENTOS!$C26)*(OFFSET(CÁLCULO!$AA$15:$AA$59,0,M$13))),2),0)</f>
        <v>0</v>
      </c>
      <c r="N26" s="265" t="n">
        <f aca="true" t="array" ref="N26:N26">IF(AUTOEVENTO="Manual",ROUND(SUMPRODUCT((CÁLCULO!$M$15:$M$59=EVENTOS!$C26)*(OFFSET(CÁLCULO!$AA$15:$AA$59,0,N$13))),2),0)</f>
        <v>0</v>
      </c>
      <c r="O26" s="265" t="n">
        <f aca="true" t="array" ref="O26:O26">IF(AUTOEVENTO="Manual",ROUND(SUMPRODUCT((CÁLCULO!$M$15:$M$59=EVENTOS!$C26)*(OFFSET(CÁLCULO!$AA$15:$AA$59,0,O$13))),2),0)</f>
        <v>0</v>
      </c>
      <c r="P26" s="265" t="n">
        <f aca="true" t="array" ref="P26:P26">IF(AUTOEVENTO="Manual",ROUND(SUMPRODUCT((CÁLCULO!$M$15:$M$59=EVENTOS!$C26)*(OFFSET(CÁLCULO!$AA$15:$AA$59,0,P$13))),2),0)</f>
        <v>0</v>
      </c>
      <c r="Q26" s="265" t="n">
        <f aca="true" t="array" ref="Q26:Q26">IF(AUTOEVENTO="Manual",ROUND(SUMPRODUCT((CÁLCULO!$M$15:$M$59=EVENTOS!$C26)*(OFFSET(CÁLCULO!$AA$15:$AA$59,0,Q$13))),2),0)</f>
        <v>0</v>
      </c>
      <c r="R26" s="265" t="n">
        <f aca="true" t="array" ref="R26:R26">IF(AUTOEVENTO="Manual",ROUND(SUMPRODUCT((CÁLCULO!$M$15:$M$59=EVENTOS!$C26)*(OFFSET(CÁLCULO!$AA$15:$AA$59,0,R$13))),2),0)</f>
        <v>0</v>
      </c>
      <c r="S26" s="265" t="n">
        <f aca="true" t="array" ref="S26:S26">IF(AUTOEVENTO="Manual",ROUND(SUMPRODUCT((CÁLCULO!$M$15:$M$59=EVENTOS!$C26)*(OFFSET(CÁLCULO!$AA$15:$AA$59,0,S$13))),2),0)</f>
        <v>0</v>
      </c>
      <c r="T26" s="265" t="n">
        <f aca="true" t="array" ref="T26:T26">IF(AUTOEVENTO="Manual",ROUND(SUMPRODUCT((CÁLCULO!$M$15:$M$59=EVENTOS!$C26)*(OFFSET(CÁLCULO!$AA$15:$AA$59,0,T$13))),2),0)</f>
        <v>0</v>
      </c>
      <c r="U26" s="265" t="n">
        <f aca="true" t="array" ref="U26:U26">IF(AUTOEVENTO="Manual",ROUND(SUMPRODUCT((CÁLCULO!$M$15:$M$59=EVENTOS!$C26)*(OFFSET(CÁLCULO!$AA$15:$AA$59,0,U$13))),2),0)</f>
        <v>0</v>
      </c>
      <c r="V26" s="265" t="n">
        <f aca="true" t="array" ref="V26:V26">IF(AUTOEVENTO="Manual",ROUND(SUMPRODUCT((CÁLCULO!$M$15:$M$59=EVENTOS!$C26)*(OFFSET(CÁLCULO!$AA$15:$AA$59,0,V$13))),2),0)</f>
        <v>0</v>
      </c>
      <c r="W26" s="265" t="n">
        <f aca="true" t="array" ref="W26:W26">IF(AUTOEVENTO="Manual",ROUND(SUMPRODUCT((CÁLCULO!$M$15:$M$59=EVENTOS!$C26)*(OFFSET(CÁLCULO!$AA$15:$AA$59,0,W$13))),2),0)</f>
        <v>0</v>
      </c>
      <c r="X26" s="265" t="n">
        <f aca="true" t="array" ref="X26:X26">IF(AUTOEVENTO="Manual",ROUND(SUMPRODUCT((CÁLCULO!$M$15:$M$59=EVENTOS!$C26)*(OFFSET(CÁLCULO!$AA$15:$AA$59,0,X$13))),2),0)</f>
        <v>0</v>
      </c>
      <c r="Y26" s="265" t="n">
        <f aca="true" t="array" ref="Y26:Y26">IF(AUTOEVENTO="Manual",ROUND(SUMPRODUCT((CÁLCULO!$M$15:$M$59=EVENTOS!$C26)*(OFFSET(CÁLCULO!$AA$15:$AA$59,0,Y$13))),2),0)</f>
        <v>0</v>
      </c>
    </row>
    <row r="27" customFormat="false" ht="12.75" hidden="false" customHeight="false" outlineLevel="0" collapsed="false">
      <c r="A27" s="178" t="str">
        <f aca="false">IF(D27="","","F")</f>
        <v/>
      </c>
      <c r="B27" s="0" t="str">
        <f aca="false">IF(OR(C27=" ",D27=""),"",CONCATENATE(C27,". ",D27))</f>
        <v/>
      </c>
      <c r="C27" s="263" t="str">
        <f aca="true" t="array" ref="C27:C27">IF(OR(ROW(C27)=ROW(EVENTOS.firstrow)+1,AND(OFFSET(C27,-1,0)&lt;&gt;" ",OFFSET(C27,-1,1)&lt;&gt;"")),OFFSET(C27,-1,0)+1," ")</f>
        <v> </v>
      </c>
      <c r="D27" s="264"/>
      <c r="E27" s="265" t="n">
        <f aca="true" t="array" ref="E27:E27">IF(AUTOEVENTO="Manual",ROUND(SUMPRODUCT((CÁLCULO!$M$15:$M$59=EVENTOS!$C27)*(OFFSET(CÁLCULO!$AA$15:$AA$59,0,E$13))),2),0)</f>
        <v>0</v>
      </c>
      <c r="F27" s="266" t="n">
        <f aca="true">IF(AUTOEVENTO="Manual",ROUND(SUMPRODUCT((CÁLCULO!$M$15:$M$59=EVENTOS!$C27)*(OFFSET(CÁLCULO!$AA$15,0,1):OFFSET(CÁLCULO!$AL$59,0,-1))),2),0)</f>
        <v>0</v>
      </c>
      <c r="G27" s="267" t="str">
        <f aca="false">IF(AND(D27=0,F27&gt;0),"NOME",
 IF(AND(D27&lt;&gt;0,$F$14&gt;0,F27=0),"VALOR",
 IF(AND(Import.TipoArredondamento="TransfereGOV",$A27="F",LEN(D27)&gt;100),"Nome &gt;100","")))</f>
        <v/>
      </c>
      <c r="H27" s="265" t="n">
        <f aca="true" t="array" ref="H27:H27">IF(AUTOEVENTO="Manual",ROUND(SUMPRODUCT((CÁLCULO!$M$15:$M$59=EVENTOS!$C27)*(OFFSET(CÁLCULO!$AA$15:$AA$59,0,H$13))),2),0)</f>
        <v>0</v>
      </c>
      <c r="I27" s="265" t="n">
        <f aca="true" t="array" ref="I27:I27">IF(AUTOEVENTO="Manual",ROUND(SUMPRODUCT((CÁLCULO!$M$15:$M$59=EVENTOS!$C27)*(OFFSET(CÁLCULO!$AA$15:$AA$59,0,I$13))),2),0)</f>
        <v>0</v>
      </c>
      <c r="J27" s="265" t="n">
        <f aca="true" t="array" ref="J27:J27">IF(AUTOEVENTO="Manual",ROUND(SUMPRODUCT((CÁLCULO!$M$15:$M$59=EVENTOS!$C27)*(OFFSET(CÁLCULO!$AA$15:$AA$59,0,J$13))),2),0)</f>
        <v>0</v>
      </c>
      <c r="K27" s="265" t="n">
        <f aca="true" t="array" ref="K27:K27">IF(AUTOEVENTO="Manual",ROUND(SUMPRODUCT((CÁLCULO!$M$15:$M$59=EVENTOS!$C27)*(OFFSET(CÁLCULO!$AA$15:$AA$59,0,K$13))),2),0)</f>
        <v>0</v>
      </c>
      <c r="L27" s="265" t="n">
        <f aca="true" t="array" ref="L27:L27">IF(AUTOEVENTO="Manual",ROUND(SUMPRODUCT((CÁLCULO!$M$15:$M$59=EVENTOS!$C27)*(OFFSET(CÁLCULO!$AA$15:$AA$59,0,L$13))),2),0)</f>
        <v>0</v>
      </c>
      <c r="M27" s="265" t="n">
        <f aca="true" t="array" ref="M27:M27">IF(AUTOEVENTO="Manual",ROUND(SUMPRODUCT((CÁLCULO!$M$15:$M$59=EVENTOS!$C27)*(OFFSET(CÁLCULO!$AA$15:$AA$59,0,M$13))),2),0)</f>
        <v>0</v>
      </c>
      <c r="N27" s="265" t="n">
        <f aca="true" t="array" ref="N27:N27">IF(AUTOEVENTO="Manual",ROUND(SUMPRODUCT((CÁLCULO!$M$15:$M$59=EVENTOS!$C27)*(OFFSET(CÁLCULO!$AA$15:$AA$59,0,N$13))),2),0)</f>
        <v>0</v>
      </c>
      <c r="O27" s="265" t="n">
        <f aca="true" t="array" ref="O27:O27">IF(AUTOEVENTO="Manual",ROUND(SUMPRODUCT((CÁLCULO!$M$15:$M$59=EVENTOS!$C27)*(OFFSET(CÁLCULO!$AA$15:$AA$59,0,O$13))),2),0)</f>
        <v>0</v>
      </c>
      <c r="P27" s="265" t="n">
        <f aca="true" t="array" ref="P27:P27">IF(AUTOEVENTO="Manual",ROUND(SUMPRODUCT((CÁLCULO!$M$15:$M$59=EVENTOS!$C27)*(OFFSET(CÁLCULO!$AA$15:$AA$59,0,P$13))),2),0)</f>
        <v>0</v>
      </c>
      <c r="Q27" s="265" t="n">
        <f aca="true" t="array" ref="Q27:Q27">IF(AUTOEVENTO="Manual",ROUND(SUMPRODUCT((CÁLCULO!$M$15:$M$59=EVENTOS!$C27)*(OFFSET(CÁLCULO!$AA$15:$AA$59,0,Q$13))),2),0)</f>
        <v>0</v>
      </c>
      <c r="R27" s="265" t="n">
        <f aca="true" t="array" ref="R27:R27">IF(AUTOEVENTO="Manual",ROUND(SUMPRODUCT((CÁLCULO!$M$15:$M$59=EVENTOS!$C27)*(OFFSET(CÁLCULO!$AA$15:$AA$59,0,R$13))),2),0)</f>
        <v>0</v>
      </c>
      <c r="S27" s="265" t="n">
        <f aca="true" t="array" ref="S27:S27">IF(AUTOEVENTO="Manual",ROUND(SUMPRODUCT((CÁLCULO!$M$15:$M$59=EVENTOS!$C27)*(OFFSET(CÁLCULO!$AA$15:$AA$59,0,S$13))),2),0)</f>
        <v>0</v>
      </c>
      <c r="T27" s="265" t="n">
        <f aca="true" t="array" ref="T27:T27">IF(AUTOEVENTO="Manual",ROUND(SUMPRODUCT((CÁLCULO!$M$15:$M$59=EVENTOS!$C27)*(OFFSET(CÁLCULO!$AA$15:$AA$59,0,T$13))),2),0)</f>
        <v>0</v>
      </c>
      <c r="U27" s="265" t="n">
        <f aca="true" t="array" ref="U27:U27">IF(AUTOEVENTO="Manual",ROUND(SUMPRODUCT((CÁLCULO!$M$15:$M$59=EVENTOS!$C27)*(OFFSET(CÁLCULO!$AA$15:$AA$59,0,U$13))),2),0)</f>
        <v>0</v>
      </c>
      <c r="V27" s="265" t="n">
        <f aca="true" t="array" ref="V27:V27">IF(AUTOEVENTO="Manual",ROUND(SUMPRODUCT((CÁLCULO!$M$15:$M$59=EVENTOS!$C27)*(OFFSET(CÁLCULO!$AA$15:$AA$59,0,V$13))),2),0)</f>
        <v>0</v>
      </c>
      <c r="W27" s="265" t="n">
        <f aca="true" t="array" ref="W27:W27">IF(AUTOEVENTO="Manual",ROUND(SUMPRODUCT((CÁLCULO!$M$15:$M$59=EVENTOS!$C27)*(OFFSET(CÁLCULO!$AA$15:$AA$59,0,W$13))),2),0)</f>
        <v>0</v>
      </c>
      <c r="X27" s="265" t="n">
        <f aca="true" t="array" ref="X27:X27">IF(AUTOEVENTO="Manual",ROUND(SUMPRODUCT((CÁLCULO!$M$15:$M$59=EVENTOS!$C27)*(OFFSET(CÁLCULO!$AA$15:$AA$59,0,X$13))),2),0)</f>
        <v>0</v>
      </c>
      <c r="Y27" s="265" t="n">
        <f aca="true" t="array" ref="Y27:Y27">IF(AUTOEVENTO="Manual",ROUND(SUMPRODUCT((CÁLCULO!$M$15:$M$59=EVENTOS!$C27)*(OFFSET(CÁLCULO!$AA$15:$AA$59,0,Y$13))),2),0)</f>
        <v>0</v>
      </c>
    </row>
    <row r="28" customFormat="false" ht="12.75" hidden="false" customHeight="false" outlineLevel="0" collapsed="false">
      <c r="A28" s="178" t="str">
        <f aca="false">IF(D28="","","F")</f>
        <v/>
      </c>
      <c r="B28" s="0" t="str">
        <f aca="false">IF(OR(C28=" ",D28=""),"",CONCATENATE(C28,". ",D28))</f>
        <v/>
      </c>
      <c r="C28" s="263" t="str">
        <f aca="true" t="array" ref="C28:C28">IF(OR(ROW(C28)=ROW(EVENTOS.firstrow)+1,AND(OFFSET(C28,-1,0)&lt;&gt;" ",OFFSET(C28,-1,1)&lt;&gt;"")),OFFSET(C28,-1,0)+1," ")</f>
        <v> </v>
      </c>
      <c r="D28" s="264"/>
      <c r="E28" s="265" t="n">
        <f aca="true" t="array" ref="E28:E28">IF(AUTOEVENTO="Manual",ROUND(SUMPRODUCT((CÁLCULO!$M$15:$M$59=EVENTOS!$C28)*(OFFSET(CÁLCULO!$AA$15:$AA$59,0,E$13))),2),0)</f>
        <v>0</v>
      </c>
      <c r="F28" s="266" t="n">
        <f aca="true">IF(AUTOEVENTO="Manual",ROUND(SUMPRODUCT((CÁLCULO!$M$15:$M$59=EVENTOS!$C28)*(OFFSET(CÁLCULO!$AA$15,0,1):OFFSET(CÁLCULO!$AL$59,0,-1))),2),0)</f>
        <v>0</v>
      </c>
      <c r="G28" s="267" t="str">
        <f aca="false">IF(AND(D28=0,F28&gt;0),"NOME",
 IF(AND(D28&lt;&gt;0,$F$14&gt;0,F28=0),"VALOR",
 IF(AND(Import.TipoArredondamento="TransfereGOV",$A28="F",LEN(D28)&gt;100),"Nome &gt;100","")))</f>
        <v/>
      </c>
      <c r="H28" s="265" t="n">
        <f aca="true" t="array" ref="H28:H28">IF(AUTOEVENTO="Manual",ROUND(SUMPRODUCT((CÁLCULO!$M$15:$M$59=EVENTOS!$C28)*(OFFSET(CÁLCULO!$AA$15:$AA$59,0,H$13))),2),0)</f>
        <v>0</v>
      </c>
      <c r="I28" s="265" t="n">
        <f aca="true" t="array" ref="I28:I28">IF(AUTOEVENTO="Manual",ROUND(SUMPRODUCT((CÁLCULO!$M$15:$M$59=EVENTOS!$C28)*(OFFSET(CÁLCULO!$AA$15:$AA$59,0,I$13))),2),0)</f>
        <v>0</v>
      </c>
      <c r="J28" s="265" t="n">
        <f aca="true" t="array" ref="J28:J28">IF(AUTOEVENTO="Manual",ROUND(SUMPRODUCT((CÁLCULO!$M$15:$M$59=EVENTOS!$C28)*(OFFSET(CÁLCULO!$AA$15:$AA$59,0,J$13))),2),0)</f>
        <v>0</v>
      </c>
      <c r="K28" s="265" t="n">
        <f aca="true" t="array" ref="K28:K28">IF(AUTOEVENTO="Manual",ROUND(SUMPRODUCT((CÁLCULO!$M$15:$M$59=EVENTOS!$C28)*(OFFSET(CÁLCULO!$AA$15:$AA$59,0,K$13))),2),0)</f>
        <v>0</v>
      </c>
      <c r="L28" s="265" t="n">
        <f aca="true" t="array" ref="L28:L28">IF(AUTOEVENTO="Manual",ROUND(SUMPRODUCT((CÁLCULO!$M$15:$M$59=EVENTOS!$C28)*(OFFSET(CÁLCULO!$AA$15:$AA$59,0,L$13))),2),0)</f>
        <v>0</v>
      </c>
      <c r="M28" s="265" t="n">
        <f aca="true" t="array" ref="M28:M28">IF(AUTOEVENTO="Manual",ROUND(SUMPRODUCT((CÁLCULO!$M$15:$M$59=EVENTOS!$C28)*(OFFSET(CÁLCULO!$AA$15:$AA$59,0,M$13))),2),0)</f>
        <v>0</v>
      </c>
      <c r="N28" s="265" t="n">
        <f aca="true" t="array" ref="N28:N28">IF(AUTOEVENTO="Manual",ROUND(SUMPRODUCT((CÁLCULO!$M$15:$M$59=EVENTOS!$C28)*(OFFSET(CÁLCULO!$AA$15:$AA$59,0,N$13))),2),0)</f>
        <v>0</v>
      </c>
      <c r="O28" s="265" t="n">
        <f aca="true" t="array" ref="O28:O28">IF(AUTOEVENTO="Manual",ROUND(SUMPRODUCT((CÁLCULO!$M$15:$M$59=EVENTOS!$C28)*(OFFSET(CÁLCULO!$AA$15:$AA$59,0,O$13))),2),0)</f>
        <v>0</v>
      </c>
      <c r="P28" s="265" t="n">
        <f aca="true" t="array" ref="P28:P28">IF(AUTOEVENTO="Manual",ROUND(SUMPRODUCT((CÁLCULO!$M$15:$M$59=EVENTOS!$C28)*(OFFSET(CÁLCULO!$AA$15:$AA$59,0,P$13))),2),0)</f>
        <v>0</v>
      </c>
      <c r="Q28" s="265" t="n">
        <f aca="true" t="array" ref="Q28:Q28">IF(AUTOEVENTO="Manual",ROUND(SUMPRODUCT((CÁLCULO!$M$15:$M$59=EVENTOS!$C28)*(OFFSET(CÁLCULO!$AA$15:$AA$59,0,Q$13))),2),0)</f>
        <v>0</v>
      </c>
      <c r="R28" s="265" t="n">
        <f aca="true" t="array" ref="R28:R28">IF(AUTOEVENTO="Manual",ROUND(SUMPRODUCT((CÁLCULO!$M$15:$M$59=EVENTOS!$C28)*(OFFSET(CÁLCULO!$AA$15:$AA$59,0,R$13))),2),0)</f>
        <v>0</v>
      </c>
      <c r="S28" s="265" t="n">
        <f aca="true" t="array" ref="S28:S28">IF(AUTOEVENTO="Manual",ROUND(SUMPRODUCT((CÁLCULO!$M$15:$M$59=EVENTOS!$C28)*(OFFSET(CÁLCULO!$AA$15:$AA$59,0,S$13))),2),0)</f>
        <v>0</v>
      </c>
      <c r="T28" s="265" t="n">
        <f aca="true" t="array" ref="T28:T28">IF(AUTOEVENTO="Manual",ROUND(SUMPRODUCT((CÁLCULO!$M$15:$M$59=EVENTOS!$C28)*(OFFSET(CÁLCULO!$AA$15:$AA$59,0,T$13))),2),0)</f>
        <v>0</v>
      </c>
      <c r="U28" s="265" t="n">
        <f aca="true" t="array" ref="U28:U28">IF(AUTOEVENTO="Manual",ROUND(SUMPRODUCT((CÁLCULO!$M$15:$M$59=EVENTOS!$C28)*(OFFSET(CÁLCULO!$AA$15:$AA$59,0,U$13))),2),0)</f>
        <v>0</v>
      </c>
      <c r="V28" s="265" t="n">
        <f aca="true" t="array" ref="V28:V28">IF(AUTOEVENTO="Manual",ROUND(SUMPRODUCT((CÁLCULO!$M$15:$M$59=EVENTOS!$C28)*(OFFSET(CÁLCULO!$AA$15:$AA$59,0,V$13))),2),0)</f>
        <v>0</v>
      </c>
      <c r="W28" s="265" t="n">
        <f aca="true" t="array" ref="W28:W28">IF(AUTOEVENTO="Manual",ROUND(SUMPRODUCT((CÁLCULO!$M$15:$M$59=EVENTOS!$C28)*(OFFSET(CÁLCULO!$AA$15:$AA$59,0,W$13))),2),0)</f>
        <v>0</v>
      </c>
      <c r="X28" s="265" t="n">
        <f aca="true" t="array" ref="X28:X28">IF(AUTOEVENTO="Manual",ROUND(SUMPRODUCT((CÁLCULO!$M$15:$M$59=EVENTOS!$C28)*(OFFSET(CÁLCULO!$AA$15:$AA$59,0,X$13))),2),0)</f>
        <v>0</v>
      </c>
      <c r="Y28" s="265" t="n">
        <f aca="true" t="array" ref="Y28:Y28">IF(AUTOEVENTO="Manual",ROUND(SUMPRODUCT((CÁLCULO!$M$15:$M$59=EVENTOS!$C28)*(OFFSET(CÁLCULO!$AA$15:$AA$59,0,Y$13))),2),0)</f>
        <v>0</v>
      </c>
    </row>
    <row r="29" customFormat="false" ht="12.75" hidden="false" customHeight="false" outlineLevel="0" collapsed="false">
      <c r="A29" s="178" t="str">
        <f aca="false">IF(D29="","","F")</f>
        <v/>
      </c>
      <c r="B29" s="0" t="str">
        <f aca="false">IF(OR(C29=" ",D29=""),"",CONCATENATE(C29,". ",D29))</f>
        <v/>
      </c>
      <c r="C29" s="263" t="str">
        <f aca="true" t="array" ref="C29:C29">IF(OR(ROW(C29)=ROW(EVENTOS.firstrow)+1,AND(OFFSET(C29,-1,0)&lt;&gt;" ",OFFSET(C29,-1,1)&lt;&gt;"")),OFFSET(C29,-1,0)+1," ")</f>
        <v> </v>
      </c>
      <c r="D29" s="264"/>
      <c r="E29" s="265" t="n">
        <f aca="true" t="array" ref="E29:E29">IF(AUTOEVENTO="Manual",ROUND(SUMPRODUCT((CÁLCULO!$M$15:$M$59=EVENTOS!$C29)*(OFFSET(CÁLCULO!$AA$15:$AA$59,0,E$13))),2),0)</f>
        <v>0</v>
      </c>
      <c r="F29" s="266" t="n">
        <f aca="true">IF(AUTOEVENTO="Manual",ROUND(SUMPRODUCT((CÁLCULO!$M$15:$M$59=EVENTOS!$C29)*(OFFSET(CÁLCULO!$AA$15,0,1):OFFSET(CÁLCULO!$AL$59,0,-1))),2),0)</f>
        <v>0</v>
      </c>
      <c r="G29" s="267" t="str">
        <f aca="false">IF(AND(D29=0,F29&gt;0),"NOME",
 IF(AND(D29&lt;&gt;0,$F$14&gt;0,F29=0),"VALOR",
 IF(AND(Import.TipoArredondamento="TransfereGOV",$A29="F",LEN(D29)&gt;100),"Nome &gt;100","")))</f>
        <v/>
      </c>
      <c r="H29" s="265" t="n">
        <f aca="true" t="array" ref="H29:H29">IF(AUTOEVENTO="Manual",ROUND(SUMPRODUCT((CÁLCULO!$M$15:$M$59=EVENTOS!$C29)*(OFFSET(CÁLCULO!$AA$15:$AA$59,0,H$13))),2),0)</f>
        <v>0</v>
      </c>
      <c r="I29" s="265" t="n">
        <f aca="true" t="array" ref="I29:I29">IF(AUTOEVENTO="Manual",ROUND(SUMPRODUCT((CÁLCULO!$M$15:$M$59=EVENTOS!$C29)*(OFFSET(CÁLCULO!$AA$15:$AA$59,0,I$13))),2),0)</f>
        <v>0</v>
      </c>
      <c r="J29" s="265" t="n">
        <f aca="true" t="array" ref="J29:J29">IF(AUTOEVENTO="Manual",ROUND(SUMPRODUCT((CÁLCULO!$M$15:$M$59=EVENTOS!$C29)*(OFFSET(CÁLCULO!$AA$15:$AA$59,0,J$13))),2),0)</f>
        <v>0</v>
      </c>
      <c r="K29" s="265" t="n">
        <f aca="true" t="array" ref="K29:K29">IF(AUTOEVENTO="Manual",ROUND(SUMPRODUCT((CÁLCULO!$M$15:$M$59=EVENTOS!$C29)*(OFFSET(CÁLCULO!$AA$15:$AA$59,0,K$13))),2),0)</f>
        <v>0</v>
      </c>
      <c r="L29" s="265" t="n">
        <f aca="true" t="array" ref="L29:L29">IF(AUTOEVENTO="Manual",ROUND(SUMPRODUCT((CÁLCULO!$M$15:$M$59=EVENTOS!$C29)*(OFFSET(CÁLCULO!$AA$15:$AA$59,0,L$13))),2),0)</f>
        <v>0</v>
      </c>
      <c r="M29" s="265" t="n">
        <f aca="true" t="array" ref="M29:M29">IF(AUTOEVENTO="Manual",ROUND(SUMPRODUCT((CÁLCULO!$M$15:$M$59=EVENTOS!$C29)*(OFFSET(CÁLCULO!$AA$15:$AA$59,0,M$13))),2),0)</f>
        <v>0</v>
      </c>
      <c r="N29" s="265" t="n">
        <f aca="true" t="array" ref="N29:N29">IF(AUTOEVENTO="Manual",ROUND(SUMPRODUCT((CÁLCULO!$M$15:$M$59=EVENTOS!$C29)*(OFFSET(CÁLCULO!$AA$15:$AA$59,0,N$13))),2),0)</f>
        <v>0</v>
      </c>
      <c r="O29" s="265" t="n">
        <f aca="true" t="array" ref="O29:O29">IF(AUTOEVENTO="Manual",ROUND(SUMPRODUCT((CÁLCULO!$M$15:$M$59=EVENTOS!$C29)*(OFFSET(CÁLCULO!$AA$15:$AA$59,0,O$13))),2),0)</f>
        <v>0</v>
      </c>
      <c r="P29" s="265" t="n">
        <f aca="true" t="array" ref="P29:P29">IF(AUTOEVENTO="Manual",ROUND(SUMPRODUCT((CÁLCULO!$M$15:$M$59=EVENTOS!$C29)*(OFFSET(CÁLCULO!$AA$15:$AA$59,0,P$13))),2),0)</f>
        <v>0</v>
      </c>
      <c r="Q29" s="265" t="n">
        <f aca="true" t="array" ref="Q29:Q29">IF(AUTOEVENTO="Manual",ROUND(SUMPRODUCT((CÁLCULO!$M$15:$M$59=EVENTOS!$C29)*(OFFSET(CÁLCULO!$AA$15:$AA$59,0,Q$13))),2),0)</f>
        <v>0</v>
      </c>
      <c r="R29" s="265" t="n">
        <f aca="true" t="array" ref="R29:R29">IF(AUTOEVENTO="Manual",ROUND(SUMPRODUCT((CÁLCULO!$M$15:$M$59=EVENTOS!$C29)*(OFFSET(CÁLCULO!$AA$15:$AA$59,0,R$13))),2),0)</f>
        <v>0</v>
      </c>
      <c r="S29" s="265" t="n">
        <f aca="true" t="array" ref="S29:S29">IF(AUTOEVENTO="Manual",ROUND(SUMPRODUCT((CÁLCULO!$M$15:$M$59=EVENTOS!$C29)*(OFFSET(CÁLCULO!$AA$15:$AA$59,0,S$13))),2),0)</f>
        <v>0</v>
      </c>
      <c r="T29" s="265" t="n">
        <f aca="true" t="array" ref="T29:T29">IF(AUTOEVENTO="Manual",ROUND(SUMPRODUCT((CÁLCULO!$M$15:$M$59=EVENTOS!$C29)*(OFFSET(CÁLCULO!$AA$15:$AA$59,0,T$13))),2),0)</f>
        <v>0</v>
      </c>
      <c r="U29" s="265" t="n">
        <f aca="true" t="array" ref="U29:U29">IF(AUTOEVENTO="Manual",ROUND(SUMPRODUCT((CÁLCULO!$M$15:$M$59=EVENTOS!$C29)*(OFFSET(CÁLCULO!$AA$15:$AA$59,0,U$13))),2),0)</f>
        <v>0</v>
      </c>
      <c r="V29" s="265" t="n">
        <f aca="true" t="array" ref="V29:V29">IF(AUTOEVENTO="Manual",ROUND(SUMPRODUCT((CÁLCULO!$M$15:$M$59=EVENTOS!$C29)*(OFFSET(CÁLCULO!$AA$15:$AA$59,0,V$13))),2),0)</f>
        <v>0</v>
      </c>
      <c r="W29" s="265" t="n">
        <f aca="true" t="array" ref="W29:W29">IF(AUTOEVENTO="Manual",ROUND(SUMPRODUCT((CÁLCULO!$M$15:$M$59=EVENTOS!$C29)*(OFFSET(CÁLCULO!$AA$15:$AA$59,0,W$13))),2),0)</f>
        <v>0</v>
      </c>
      <c r="X29" s="265" t="n">
        <f aca="true" t="array" ref="X29:X29">IF(AUTOEVENTO="Manual",ROUND(SUMPRODUCT((CÁLCULO!$M$15:$M$59=EVENTOS!$C29)*(OFFSET(CÁLCULO!$AA$15:$AA$59,0,X$13))),2),0)</f>
        <v>0</v>
      </c>
      <c r="Y29" s="265" t="n">
        <f aca="true" t="array" ref="Y29:Y29">IF(AUTOEVENTO="Manual",ROUND(SUMPRODUCT((CÁLCULO!$M$15:$M$59=EVENTOS!$C29)*(OFFSET(CÁLCULO!$AA$15:$AA$59,0,Y$13))),2),0)</f>
        <v>0</v>
      </c>
    </row>
    <row r="30" customFormat="false" ht="12.75" hidden="false" customHeight="false" outlineLevel="0" collapsed="false">
      <c r="A30" s="178" t="str">
        <f aca="false">IF(D30="","","F")</f>
        <v/>
      </c>
      <c r="B30" s="0" t="str">
        <f aca="false">IF(OR(C30=" ",D30=""),"",CONCATENATE(C30,". ",D30))</f>
        <v/>
      </c>
      <c r="C30" s="263" t="str">
        <f aca="true" t="array" ref="C30:C30">IF(OR(ROW(C30)=ROW(EVENTOS.firstrow)+1,AND(OFFSET(C30,-1,0)&lt;&gt;" ",OFFSET(C30,-1,1)&lt;&gt;"")),OFFSET(C30,-1,0)+1," ")</f>
        <v> </v>
      </c>
      <c r="D30" s="264"/>
      <c r="E30" s="265" t="n">
        <f aca="true" t="array" ref="E30:E30">IF(AUTOEVENTO="Manual",ROUND(SUMPRODUCT((CÁLCULO!$M$15:$M$59=EVENTOS!$C30)*(OFFSET(CÁLCULO!$AA$15:$AA$59,0,E$13))),2),0)</f>
        <v>0</v>
      </c>
      <c r="F30" s="266" t="n">
        <f aca="true">IF(AUTOEVENTO="Manual",ROUND(SUMPRODUCT((CÁLCULO!$M$15:$M$59=EVENTOS!$C30)*(OFFSET(CÁLCULO!$AA$15,0,1):OFFSET(CÁLCULO!$AL$59,0,-1))),2),0)</f>
        <v>0</v>
      </c>
      <c r="G30" s="267" t="str">
        <f aca="false">IF(AND(D30=0,F30&gt;0),"NOME",
 IF(AND(D30&lt;&gt;0,$F$14&gt;0,F30=0),"VALOR",
 IF(AND(Import.TipoArredondamento="TransfereGOV",$A30="F",LEN(D30)&gt;100),"Nome &gt;100","")))</f>
        <v/>
      </c>
      <c r="H30" s="265" t="n">
        <f aca="true" t="array" ref="H30:H30">IF(AUTOEVENTO="Manual",ROUND(SUMPRODUCT((CÁLCULO!$M$15:$M$59=EVENTOS!$C30)*(OFFSET(CÁLCULO!$AA$15:$AA$59,0,H$13))),2),0)</f>
        <v>0</v>
      </c>
      <c r="I30" s="265" t="n">
        <f aca="true" t="array" ref="I30:I30">IF(AUTOEVENTO="Manual",ROUND(SUMPRODUCT((CÁLCULO!$M$15:$M$59=EVENTOS!$C30)*(OFFSET(CÁLCULO!$AA$15:$AA$59,0,I$13))),2),0)</f>
        <v>0</v>
      </c>
      <c r="J30" s="265" t="n">
        <f aca="true" t="array" ref="J30:J30">IF(AUTOEVENTO="Manual",ROUND(SUMPRODUCT((CÁLCULO!$M$15:$M$59=EVENTOS!$C30)*(OFFSET(CÁLCULO!$AA$15:$AA$59,0,J$13))),2),0)</f>
        <v>0</v>
      </c>
      <c r="K30" s="265" t="n">
        <f aca="true" t="array" ref="K30:K30">IF(AUTOEVENTO="Manual",ROUND(SUMPRODUCT((CÁLCULO!$M$15:$M$59=EVENTOS!$C30)*(OFFSET(CÁLCULO!$AA$15:$AA$59,0,K$13))),2),0)</f>
        <v>0</v>
      </c>
      <c r="L30" s="265" t="n">
        <f aca="true" t="array" ref="L30:L30">IF(AUTOEVENTO="Manual",ROUND(SUMPRODUCT((CÁLCULO!$M$15:$M$59=EVENTOS!$C30)*(OFFSET(CÁLCULO!$AA$15:$AA$59,0,L$13))),2),0)</f>
        <v>0</v>
      </c>
      <c r="M30" s="265" t="n">
        <f aca="true" t="array" ref="M30:M30">IF(AUTOEVENTO="Manual",ROUND(SUMPRODUCT((CÁLCULO!$M$15:$M$59=EVENTOS!$C30)*(OFFSET(CÁLCULO!$AA$15:$AA$59,0,M$13))),2),0)</f>
        <v>0</v>
      </c>
      <c r="N30" s="265" t="n">
        <f aca="true" t="array" ref="N30:N30">IF(AUTOEVENTO="Manual",ROUND(SUMPRODUCT((CÁLCULO!$M$15:$M$59=EVENTOS!$C30)*(OFFSET(CÁLCULO!$AA$15:$AA$59,0,N$13))),2),0)</f>
        <v>0</v>
      </c>
      <c r="O30" s="265" t="n">
        <f aca="true" t="array" ref="O30:O30">IF(AUTOEVENTO="Manual",ROUND(SUMPRODUCT((CÁLCULO!$M$15:$M$59=EVENTOS!$C30)*(OFFSET(CÁLCULO!$AA$15:$AA$59,0,O$13))),2),0)</f>
        <v>0</v>
      </c>
      <c r="P30" s="265" t="n">
        <f aca="true" t="array" ref="P30:P30">IF(AUTOEVENTO="Manual",ROUND(SUMPRODUCT((CÁLCULO!$M$15:$M$59=EVENTOS!$C30)*(OFFSET(CÁLCULO!$AA$15:$AA$59,0,P$13))),2),0)</f>
        <v>0</v>
      </c>
      <c r="Q30" s="265" t="n">
        <f aca="true" t="array" ref="Q30:Q30">IF(AUTOEVENTO="Manual",ROUND(SUMPRODUCT((CÁLCULO!$M$15:$M$59=EVENTOS!$C30)*(OFFSET(CÁLCULO!$AA$15:$AA$59,0,Q$13))),2),0)</f>
        <v>0</v>
      </c>
      <c r="R30" s="265" t="n">
        <f aca="true" t="array" ref="R30:R30">IF(AUTOEVENTO="Manual",ROUND(SUMPRODUCT((CÁLCULO!$M$15:$M$59=EVENTOS!$C30)*(OFFSET(CÁLCULO!$AA$15:$AA$59,0,R$13))),2),0)</f>
        <v>0</v>
      </c>
      <c r="S30" s="265" t="n">
        <f aca="true" t="array" ref="S30:S30">IF(AUTOEVENTO="Manual",ROUND(SUMPRODUCT((CÁLCULO!$M$15:$M$59=EVENTOS!$C30)*(OFFSET(CÁLCULO!$AA$15:$AA$59,0,S$13))),2),0)</f>
        <v>0</v>
      </c>
      <c r="T30" s="265" t="n">
        <f aca="true" t="array" ref="T30:T30">IF(AUTOEVENTO="Manual",ROUND(SUMPRODUCT((CÁLCULO!$M$15:$M$59=EVENTOS!$C30)*(OFFSET(CÁLCULO!$AA$15:$AA$59,0,T$13))),2),0)</f>
        <v>0</v>
      </c>
      <c r="U30" s="265" t="n">
        <f aca="true" t="array" ref="U30:U30">IF(AUTOEVENTO="Manual",ROUND(SUMPRODUCT((CÁLCULO!$M$15:$M$59=EVENTOS!$C30)*(OFFSET(CÁLCULO!$AA$15:$AA$59,0,U$13))),2),0)</f>
        <v>0</v>
      </c>
      <c r="V30" s="265" t="n">
        <f aca="true" t="array" ref="V30:V30">IF(AUTOEVENTO="Manual",ROUND(SUMPRODUCT((CÁLCULO!$M$15:$M$59=EVENTOS!$C30)*(OFFSET(CÁLCULO!$AA$15:$AA$59,0,V$13))),2),0)</f>
        <v>0</v>
      </c>
      <c r="W30" s="265" t="n">
        <f aca="true" t="array" ref="W30:W30">IF(AUTOEVENTO="Manual",ROUND(SUMPRODUCT((CÁLCULO!$M$15:$M$59=EVENTOS!$C30)*(OFFSET(CÁLCULO!$AA$15:$AA$59,0,W$13))),2),0)</f>
        <v>0</v>
      </c>
      <c r="X30" s="265" t="n">
        <f aca="true" t="array" ref="X30:X30">IF(AUTOEVENTO="Manual",ROUND(SUMPRODUCT((CÁLCULO!$M$15:$M$59=EVENTOS!$C30)*(OFFSET(CÁLCULO!$AA$15:$AA$59,0,X$13))),2),0)</f>
        <v>0</v>
      </c>
      <c r="Y30" s="265" t="n">
        <f aca="true" t="array" ref="Y30:Y30">IF(AUTOEVENTO="Manual",ROUND(SUMPRODUCT((CÁLCULO!$M$15:$M$59=EVENTOS!$C30)*(OFFSET(CÁLCULO!$AA$15:$AA$59,0,Y$13))),2),0)</f>
        <v>0</v>
      </c>
    </row>
    <row r="31" customFormat="false" ht="12.75" hidden="false" customHeight="false" outlineLevel="0" collapsed="false">
      <c r="A31" s="178" t="str">
        <f aca="false">IF(D31="","","F")</f>
        <v/>
      </c>
      <c r="B31" s="0" t="str">
        <f aca="false">IF(OR(C31=" ",D31=""),"",CONCATENATE(C31,". ",D31))</f>
        <v/>
      </c>
      <c r="C31" s="263" t="str">
        <f aca="true" t="array" ref="C31:C31">IF(OR(ROW(C31)=ROW(EVENTOS.firstrow)+1,AND(OFFSET(C31,-1,0)&lt;&gt;" ",OFFSET(C31,-1,1)&lt;&gt;"")),OFFSET(C31,-1,0)+1," ")</f>
        <v> </v>
      </c>
      <c r="D31" s="264"/>
      <c r="E31" s="265" t="n">
        <f aca="true" t="array" ref="E31:E31">IF(AUTOEVENTO="Manual",ROUND(SUMPRODUCT((CÁLCULO!$M$15:$M$59=EVENTOS!$C31)*(OFFSET(CÁLCULO!$AA$15:$AA$59,0,E$13))),2),0)</f>
        <v>0</v>
      </c>
      <c r="F31" s="266" t="n">
        <f aca="true">IF(AUTOEVENTO="Manual",ROUND(SUMPRODUCT((CÁLCULO!$M$15:$M$59=EVENTOS!$C31)*(OFFSET(CÁLCULO!$AA$15,0,1):OFFSET(CÁLCULO!$AL$59,0,-1))),2),0)</f>
        <v>0</v>
      </c>
      <c r="G31" s="267" t="str">
        <f aca="false">IF(AND(D31=0,F31&gt;0),"NOME",
 IF(AND(D31&lt;&gt;0,$F$14&gt;0,F31=0),"VALOR",
 IF(AND(Import.TipoArredondamento="TransfereGOV",$A31="F",LEN(D31)&gt;100),"Nome &gt;100","")))</f>
        <v/>
      </c>
      <c r="H31" s="265" t="n">
        <f aca="true" t="array" ref="H31:H31">IF(AUTOEVENTO="Manual",ROUND(SUMPRODUCT((CÁLCULO!$M$15:$M$59=EVENTOS!$C31)*(OFFSET(CÁLCULO!$AA$15:$AA$59,0,H$13))),2),0)</f>
        <v>0</v>
      </c>
      <c r="I31" s="265" t="n">
        <f aca="true" t="array" ref="I31:I31">IF(AUTOEVENTO="Manual",ROUND(SUMPRODUCT((CÁLCULO!$M$15:$M$59=EVENTOS!$C31)*(OFFSET(CÁLCULO!$AA$15:$AA$59,0,I$13))),2),0)</f>
        <v>0</v>
      </c>
      <c r="J31" s="265" t="n">
        <f aca="true" t="array" ref="J31:J31">IF(AUTOEVENTO="Manual",ROUND(SUMPRODUCT((CÁLCULO!$M$15:$M$59=EVENTOS!$C31)*(OFFSET(CÁLCULO!$AA$15:$AA$59,0,J$13))),2),0)</f>
        <v>0</v>
      </c>
      <c r="K31" s="265" t="n">
        <f aca="true" t="array" ref="K31:K31">IF(AUTOEVENTO="Manual",ROUND(SUMPRODUCT((CÁLCULO!$M$15:$M$59=EVENTOS!$C31)*(OFFSET(CÁLCULO!$AA$15:$AA$59,0,K$13))),2),0)</f>
        <v>0</v>
      </c>
      <c r="L31" s="265" t="n">
        <f aca="true" t="array" ref="L31:L31">IF(AUTOEVENTO="Manual",ROUND(SUMPRODUCT((CÁLCULO!$M$15:$M$59=EVENTOS!$C31)*(OFFSET(CÁLCULO!$AA$15:$AA$59,0,L$13))),2),0)</f>
        <v>0</v>
      </c>
      <c r="M31" s="265" t="n">
        <f aca="true" t="array" ref="M31:M31">IF(AUTOEVENTO="Manual",ROUND(SUMPRODUCT((CÁLCULO!$M$15:$M$59=EVENTOS!$C31)*(OFFSET(CÁLCULO!$AA$15:$AA$59,0,M$13))),2),0)</f>
        <v>0</v>
      </c>
      <c r="N31" s="265" t="n">
        <f aca="true" t="array" ref="N31:N31">IF(AUTOEVENTO="Manual",ROUND(SUMPRODUCT((CÁLCULO!$M$15:$M$59=EVENTOS!$C31)*(OFFSET(CÁLCULO!$AA$15:$AA$59,0,N$13))),2),0)</f>
        <v>0</v>
      </c>
      <c r="O31" s="265" t="n">
        <f aca="true" t="array" ref="O31:O31">IF(AUTOEVENTO="Manual",ROUND(SUMPRODUCT((CÁLCULO!$M$15:$M$59=EVENTOS!$C31)*(OFFSET(CÁLCULO!$AA$15:$AA$59,0,O$13))),2),0)</f>
        <v>0</v>
      </c>
      <c r="P31" s="265" t="n">
        <f aca="true" t="array" ref="P31:P31">IF(AUTOEVENTO="Manual",ROUND(SUMPRODUCT((CÁLCULO!$M$15:$M$59=EVENTOS!$C31)*(OFFSET(CÁLCULO!$AA$15:$AA$59,0,P$13))),2),0)</f>
        <v>0</v>
      </c>
      <c r="Q31" s="265" t="n">
        <f aca="true" t="array" ref="Q31:Q31">IF(AUTOEVENTO="Manual",ROUND(SUMPRODUCT((CÁLCULO!$M$15:$M$59=EVENTOS!$C31)*(OFFSET(CÁLCULO!$AA$15:$AA$59,0,Q$13))),2),0)</f>
        <v>0</v>
      </c>
      <c r="R31" s="265" t="n">
        <f aca="true" t="array" ref="R31:R31">IF(AUTOEVENTO="Manual",ROUND(SUMPRODUCT((CÁLCULO!$M$15:$M$59=EVENTOS!$C31)*(OFFSET(CÁLCULO!$AA$15:$AA$59,0,R$13))),2),0)</f>
        <v>0</v>
      </c>
      <c r="S31" s="265" t="n">
        <f aca="true" t="array" ref="S31:S31">IF(AUTOEVENTO="Manual",ROUND(SUMPRODUCT((CÁLCULO!$M$15:$M$59=EVENTOS!$C31)*(OFFSET(CÁLCULO!$AA$15:$AA$59,0,S$13))),2),0)</f>
        <v>0</v>
      </c>
      <c r="T31" s="265" t="n">
        <f aca="true" t="array" ref="T31:T31">IF(AUTOEVENTO="Manual",ROUND(SUMPRODUCT((CÁLCULO!$M$15:$M$59=EVENTOS!$C31)*(OFFSET(CÁLCULO!$AA$15:$AA$59,0,T$13))),2),0)</f>
        <v>0</v>
      </c>
      <c r="U31" s="265" t="n">
        <f aca="true" t="array" ref="U31:U31">IF(AUTOEVENTO="Manual",ROUND(SUMPRODUCT((CÁLCULO!$M$15:$M$59=EVENTOS!$C31)*(OFFSET(CÁLCULO!$AA$15:$AA$59,0,U$13))),2),0)</f>
        <v>0</v>
      </c>
      <c r="V31" s="265" t="n">
        <f aca="true" t="array" ref="V31:V31">IF(AUTOEVENTO="Manual",ROUND(SUMPRODUCT((CÁLCULO!$M$15:$M$59=EVENTOS!$C31)*(OFFSET(CÁLCULO!$AA$15:$AA$59,0,V$13))),2),0)</f>
        <v>0</v>
      </c>
      <c r="W31" s="265" t="n">
        <f aca="true" t="array" ref="W31:W31">IF(AUTOEVENTO="Manual",ROUND(SUMPRODUCT((CÁLCULO!$M$15:$M$59=EVENTOS!$C31)*(OFFSET(CÁLCULO!$AA$15:$AA$59,0,W$13))),2),0)</f>
        <v>0</v>
      </c>
      <c r="X31" s="265" t="n">
        <f aca="true" t="array" ref="X31:X31">IF(AUTOEVENTO="Manual",ROUND(SUMPRODUCT((CÁLCULO!$M$15:$M$59=EVENTOS!$C31)*(OFFSET(CÁLCULO!$AA$15:$AA$59,0,X$13))),2),0)</f>
        <v>0</v>
      </c>
      <c r="Y31" s="265" t="n">
        <f aca="true" t="array" ref="Y31:Y31">IF(AUTOEVENTO="Manual",ROUND(SUMPRODUCT((CÁLCULO!$M$15:$M$59=EVENTOS!$C31)*(OFFSET(CÁLCULO!$AA$15:$AA$59,0,Y$13))),2),0)</f>
        <v>0</v>
      </c>
    </row>
    <row r="32" customFormat="false" ht="12.75" hidden="false" customHeight="false" outlineLevel="0" collapsed="false">
      <c r="A32" s="178" t="str">
        <f aca="false">IF(D32="","","F")</f>
        <v/>
      </c>
      <c r="B32" s="0" t="str">
        <f aca="false">IF(OR(C32=" ",D32=""),"",CONCATENATE(C32,". ",D32))</f>
        <v/>
      </c>
      <c r="C32" s="263" t="str">
        <f aca="true" t="array" ref="C32:C32">IF(OR(ROW(C32)=ROW(EVENTOS.firstrow)+1,AND(OFFSET(C32,-1,0)&lt;&gt;" ",OFFSET(C32,-1,1)&lt;&gt;"")),OFFSET(C32,-1,0)+1," ")</f>
        <v> </v>
      </c>
      <c r="D32" s="264"/>
      <c r="E32" s="265" t="n">
        <f aca="true" t="array" ref="E32:E32">IF(AUTOEVENTO="Manual",ROUND(SUMPRODUCT((CÁLCULO!$M$15:$M$59=EVENTOS!$C32)*(OFFSET(CÁLCULO!$AA$15:$AA$59,0,E$13))),2),0)</f>
        <v>0</v>
      </c>
      <c r="F32" s="266" t="n">
        <f aca="true">IF(AUTOEVENTO="Manual",ROUND(SUMPRODUCT((CÁLCULO!$M$15:$M$59=EVENTOS!$C32)*(OFFSET(CÁLCULO!$AA$15,0,1):OFFSET(CÁLCULO!$AL$59,0,-1))),2),0)</f>
        <v>0</v>
      </c>
      <c r="G32" s="267" t="str">
        <f aca="false">IF(AND(D32=0,F32&gt;0),"NOME",
 IF(AND(D32&lt;&gt;0,$F$14&gt;0,F32=0),"VALOR",
 IF(AND(Import.TipoArredondamento="TransfereGOV",$A32="F",LEN(D32)&gt;100),"Nome &gt;100","")))</f>
        <v/>
      </c>
      <c r="H32" s="265" t="n">
        <f aca="true" t="array" ref="H32:H32">IF(AUTOEVENTO="Manual",ROUND(SUMPRODUCT((CÁLCULO!$M$15:$M$59=EVENTOS!$C32)*(OFFSET(CÁLCULO!$AA$15:$AA$59,0,H$13))),2),0)</f>
        <v>0</v>
      </c>
      <c r="I32" s="265" t="n">
        <f aca="true" t="array" ref="I32:I32">IF(AUTOEVENTO="Manual",ROUND(SUMPRODUCT((CÁLCULO!$M$15:$M$59=EVENTOS!$C32)*(OFFSET(CÁLCULO!$AA$15:$AA$59,0,I$13))),2),0)</f>
        <v>0</v>
      </c>
      <c r="J32" s="265" t="n">
        <f aca="true" t="array" ref="J32:J32">IF(AUTOEVENTO="Manual",ROUND(SUMPRODUCT((CÁLCULO!$M$15:$M$59=EVENTOS!$C32)*(OFFSET(CÁLCULO!$AA$15:$AA$59,0,J$13))),2),0)</f>
        <v>0</v>
      </c>
      <c r="K32" s="265" t="n">
        <f aca="true" t="array" ref="K32:K32">IF(AUTOEVENTO="Manual",ROUND(SUMPRODUCT((CÁLCULO!$M$15:$M$59=EVENTOS!$C32)*(OFFSET(CÁLCULO!$AA$15:$AA$59,0,K$13))),2),0)</f>
        <v>0</v>
      </c>
      <c r="L32" s="265" t="n">
        <f aca="true" t="array" ref="L32:L32">IF(AUTOEVENTO="Manual",ROUND(SUMPRODUCT((CÁLCULO!$M$15:$M$59=EVENTOS!$C32)*(OFFSET(CÁLCULO!$AA$15:$AA$59,0,L$13))),2),0)</f>
        <v>0</v>
      </c>
      <c r="M32" s="265" t="n">
        <f aca="true" t="array" ref="M32:M32">IF(AUTOEVENTO="Manual",ROUND(SUMPRODUCT((CÁLCULO!$M$15:$M$59=EVENTOS!$C32)*(OFFSET(CÁLCULO!$AA$15:$AA$59,0,M$13))),2),0)</f>
        <v>0</v>
      </c>
      <c r="N32" s="265" t="n">
        <f aca="true" t="array" ref="N32:N32">IF(AUTOEVENTO="Manual",ROUND(SUMPRODUCT((CÁLCULO!$M$15:$M$59=EVENTOS!$C32)*(OFFSET(CÁLCULO!$AA$15:$AA$59,0,N$13))),2),0)</f>
        <v>0</v>
      </c>
      <c r="O32" s="265" t="n">
        <f aca="true" t="array" ref="O32:O32">IF(AUTOEVENTO="Manual",ROUND(SUMPRODUCT((CÁLCULO!$M$15:$M$59=EVENTOS!$C32)*(OFFSET(CÁLCULO!$AA$15:$AA$59,0,O$13))),2),0)</f>
        <v>0</v>
      </c>
      <c r="P32" s="265" t="n">
        <f aca="true" t="array" ref="P32:P32">IF(AUTOEVENTO="Manual",ROUND(SUMPRODUCT((CÁLCULO!$M$15:$M$59=EVENTOS!$C32)*(OFFSET(CÁLCULO!$AA$15:$AA$59,0,P$13))),2),0)</f>
        <v>0</v>
      </c>
      <c r="Q32" s="265" t="n">
        <f aca="true" t="array" ref="Q32:Q32">IF(AUTOEVENTO="Manual",ROUND(SUMPRODUCT((CÁLCULO!$M$15:$M$59=EVENTOS!$C32)*(OFFSET(CÁLCULO!$AA$15:$AA$59,0,Q$13))),2),0)</f>
        <v>0</v>
      </c>
      <c r="R32" s="265" t="n">
        <f aca="true" t="array" ref="R32:R32">IF(AUTOEVENTO="Manual",ROUND(SUMPRODUCT((CÁLCULO!$M$15:$M$59=EVENTOS!$C32)*(OFFSET(CÁLCULO!$AA$15:$AA$59,0,R$13))),2),0)</f>
        <v>0</v>
      </c>
      <c r="S32" s="265" t="n">
        <f aca="true" t="array" ref="S32:S32">IF(AUTOEVENTO="Manual",ROUND(SUMPRODUCT((CÁLCULO!$M$15:$M$59=EVENTOS!$C32)*(OFFSET(CÁLCULO!$AA$15:$AA$59,0,S$13))),2),0)</f>
        <v>0</v>
      </c>
      <c r="T32" s="265" t="n">
        <f aca="true" t="array" ref="T32:T32">IF(AUTOEVENTO="Manual",ROUND(SUMPRODUCT((CÁLCULO!$M$15:$M$59=EVENTOS!$C32)*(OFFSET(CÁLCULO!$AA$15:$AA$59,0,T$13))),2),0)</f>
        <v>0</v>
      </c>
      <c r="U32" s="265" t="n">
        <f aca="true" t="array" ref="U32:U32">IF(AUTOEVENTO="Manual",ROUND(SUMPRODUCT((CÁLCULO!$M$15:$M$59=EVENTOS!$C32)*(OFFSET(CÁLCULO!$AA$15:$AA$59,0,U$13))),2),0)</f>
        <v>0</v>
      </c>
      <c r="V32" s="265" t="n">
        <f aca="true" t="array" ref="V32:V32">IF(AUTOEVENTO="Manual",ROUND(SUMPRODUCT((CÁLCULO!$M$15:$M$59=EVENTOS!$C32)*(OFFSET(CÁLCULO!$AA$15:$AA$59,0,V$13))),2),0)</f>
        <v>0</v>
      </c>
      <c r="W32" s="265" t="n">
        <f aca="true" t="array" ref="W32:W32">IF(AUTOEVENTO="Manual",ROUND(SUMPRODUCT((CÁLCULO!$M$15:$M$59=EVENTOS!$C32)*(OFFSET(CÁLCULO!$AA$15:$AA$59,0,W$13))),2),0)</f>
        <v>0</v>
      </c>
      <c r="X32" s="265" t="n">
        <f aca="true" t="array" ref="X32:X32">IF(AUTOEVENTO="Manual",ROUND(SUMPRODUCT((CÁLCULO!$M$15:$M$59=EVENTOS!$C32)*(OFFSET(CÁLCULO!$AA$15:$AA$59,0,X$13))),2),0)</f>
        <v>0</v>
      </c>
      <c r="Y32" s="265" t="n">
        <f aca="true" t="array" ref="Y32:Y32">IF(AUTOEVENTO="Manual",ROUND(SUMPRODUCT((CÁLCULO!$M$15:$M$59=EVENTOS!$C32)*(OFFSET(CÁLCULO!$AA$15:$AA$59,0,Y$13))),2),0)</f>
        <v>0</v>
      </c>
    </row>
    <row r="33" customFormat="false" ht="12.75" hidden="false" customHeight="false" outlineLevel="0" collapsed="false">
      <c r="A33" s="178" t="str">
        <f aca="false">IF(D33="","","F")</f>
        <v/>
      </c>
      <c r="B33" s="0" t="str">
        <f aca="false">IF(OR(C33=" ",D33=""),"",CONCATENATE(C33,". ",D33))</f>
        <v/>
      </c>
      <c r="C33" s="263" t="str">
        <f aca="true" t="array" ref="C33:C33">IF(OR(ROW(C33)=ROW(EVENTOS.firstrow)+1,AND(OFFSET(C33,-1,0)&lt;&gt;" ",OFFSET(C33,-1,1)&lt;&gt;"")),OFFSET(C33,-1,0)+1," ")</f>
        <v> </v>
      </c>
      <c r="D33" s="264"/>
      <c r="E33" s="265" t="n">
        <f aca="true" t="array" ref="E33:E33">IF(AUTOEVENTO="Manual",ROUND(SUMPRODUCT((CÁLCULO!$M$15:$M$59=EVENTOS!$C33)*(OFFSET(CÁLCULO!$AA$15:$AA$59,0,E$13))),2),0)</f>
        <v>0</v>
      </c>
      <c r="F33" s="266" t="n">
        <f aca="true">IF(AUTOEVENTO="Manual",ROUND(SUMPRODUCT((CÁLCULO!$M$15:$M$59=EVENTOS!$C33)*(OFFSET(CÁLCULO!$AA$15,0,1):OFFSET(CÁLCULO!$AL$59,0,-1))),2),0)</f>
        <v>0</v>
      </c>
      <c r="G33" s="267" t="str">
        <f aca="false">IF(AND(D33=0,F33&gt;0),"NOME",
 IF(AND(D33&lt;&gt;0,$F$14&gt;0,F33=0),"VALOR",
 IF(AND(Import.TipoArredondamento="TransfereGOV",$A33="F",LEN(D33)&gt;100),"Nome &gt;100","")))</f>
        <v/>
      </c>
      <c r="H33" s="265" t="n">
        <f aca="true" t="array" ref="H33:H33">IF(AUTOEVENTO="Manual",ROUND(SUMPRODUCT((CÁLCULO!$M$15:$M$59=EVENTOS!$C33)*(OFFSET(CÁLCULO!$AA$15:$AA$59,0,H$13))),2),0)</f>
        <v>0</v>
      </c>
      <c r="I33" s="265" t="n">
        <f aca="true" t="array" ref="I33:I33">IF(AUTOEVENTO="Manual",ROUND(SUMPRODUCT((CÁLCULO!$M$15:$M$59=EVENTOS!$C33)*(OFFSET(CÁLCULO!$AA$15:$AA$59,0,I$13))),2),0)</f>
        <v>0</v>
      </c>
      <c r="J33" s="265" t="n">
        <f aca="true" t="array" ref="J33:J33">IF(AUTOEVENTO="Manual",ROUND(SUMPRODUCT((CÁLCULO!$M$15:$M$59=EVENTOS!$C33)*(OFFSET(CÁLCULO!$AA$15:$AA$59,0,J$13))),2),0)</f>
        <v>0</v>
      </c>
      <c r="K33" s="265" t="n">
        <f aca="true" t="array" ref="K33:K33">IF(AUTOEVENTO="Manual",ROUND(SUMPRODUCT((CÁLCULO!$M$15:$M$59=EVENTOS!$C33)*(OFFSET(CÁLCULO!$AA$15:$AA$59,0,K$13))),2),0)</f>
        <v>0</v>
      </c>
      <c r="L33" s="265" t="n">
        <f aca="true" t="array" ref="L33:L33">IF(AUTOEVENTO="Manual",ROUND(SUMPRODUCT((CÁLCULO!$M$15:$M$59=EVENTOS!$C33)*(OFFSET(CÁLCULO!$AA$15:$AA$59,0,L$13))),2),0)</f>
        <v>0</v>
      </c>
      <c r="M33" s="265" t="n">
        <f aca="true" t="array" ref="M33:M33">IF(AUTOEVENTO="Manual",ROUND(SUMPRODUCT((CÁLCULO!$M$15:$M$59=EVENTOS!$C33)*(OFFSET(CÁLCULO!$AA$15:$AA$59,0,M$13))),2),0)</f>
        <v>0</v>
      </c>
      <c r="N33" s="265" t="n">
        <f aca="true" t="array" ref="N33:N33">IF(AUTOEVENTO="Manual",ROUND(SUMPRODUCT((CÁLCULO!$M$15:$M$59=EVENTOS!$C33)*(OFFSET(CÁLCULO!$AA$15:$AA$59,0,N$13))),2),0)</f>
        <v>0</v>
      </c>
      <c r="O33" s="265" t="n">
        <f aca="true" t="array" ref="O33:O33">IF(AUTOEVENTO="Manual",ROUND(SUMPRODUCT((CÁLCULO!$M$15:$M$59=EVENTOS!$C33)*(OFFSET(CÁLCULO!$AA$15:$AA$59,0,O$13))),2),0)</f>
        <v>0</v>
      </c>
      <c r="P33" s="265" t="n">
        <f aca="true" t="array" ref="P33:P33">IF(AUTOEVENTO="Manual",ROUND(SUMPRODUCT((CÁLCULO!$M$15:$M$59=EVENTOS!$C33)*(OFFSET(CÁLCULO!$AA$15:$AA$59,0,P$13))),2),0)</f>
        <v>0</v>
      </c>
      <c r="Q33" s="265" t="n">
        <f aca="true" t="array" ref="Q33:Q33">IF(AUTOEVENTO="Manual",ROUND(SUMPRODUCT((CÁLCULO!$M$15:$M$59=EVENTOS!$C33)*(OFFSET(CÁLCULO!$AA$15:$AA$59,0,Q$13))),2),0)</f>
        <v>0</v>
      </c>
      <c r="R33" s="265" t="n">
        <f aca="true" t="array" ref="R33:R33">IF(AUTOEVENTO="Manual",ROUND(SUMPRODUCT((CÁLCULO!$M$15:$M$59=EVENTOS!$C33)*(OFFSET(CÁLCULO!$AA$15:$AA$59,0,R$13))),2),0)</f>
        <v>0</v>
      </c>
      <c r="S33" s="265" t="n">
        <f aca="true" t="array" ref="S33:S33">IF(AUTOEVENTO="Manual",ROUND(SUMPRODUCT((CÁLCULO!$M$15:$M$59=EVENTOS!$C33)*(OFFSET(CÁLCULO!$AA$15:$AA$59,0,S$13))),2),0)</f>
        <v>0</v>
      </c>
      <c r="T33" s="265" t="n">
        <f aca="true" t="array" ref="T33:T33">IF(AUTOEVENTO="Manual",ROUND(SUMPRODUCT((CÁLCULO!$M$15:$M$59=EVENTOS!$C33)*(OFFSET(CÁLCULO!$AA$15:$AA$59,0,T$13))),2),0)</f>
        <v>0</v>
      </c>
      <c r="U33" s="265" t="n">
        <f aca="true" t="array" ref="U33:U33">IF(AUTOEVENTO="Manual",ROUND(SUMPRODUCT((CÁLCULO!$M$15:$M$59=EVENTOS!$C33)*(OFFSET(CÁLCULO!$AA$15:$AA$59,0,U$13))),2),0)</f>
        <v>0</v>
      </c>
      <c r="V33" s="265" t="n">
        <f aca="true" t="array" ref="V33:V33">IF(AUTOEVENTO="Manual",ROUND(SUMPRODUCT((CÁLCULO!$M$15:$M$59=EVENTOS!$C33)*(OFFSET(CÁLCULO!$AA$15:$AA$59,0,V$13))),2),0)</f>
        <v>0</v>
      </c>
      <c r="W33" s="265" t="n">
        <f aca="true" t="array" ref="W33:W33">IF(AUTOEVENTO="Manual",ROUND(SUMPRODUCT((CÁLCULO!$M$15:$M$59=EVENTOS!$C33)*(OFFSET(CÁLCULO!$AA$15:$AA$59,0,W$13))),2),0)</f>
        <v>0</v>
      </c>
      <c r="X33" s="265" t="n">
        <f aca="true" t="array" ref="X33:X33">IF(AUTOEVENTO="Manual",ROUND(SUMPRODUCT((CÁLCULO!$M$15:$M$59=EVENTOS!$C33)*(OFFSET(CÁLCULO!$AA$15:$AA$59,0,X$13))),2),0)</f>
        <v>0</v>
      </c>
      <c r="Y33" s="265" t="n">
        <f aca="true" t="array" ref="Y33:Y33">IF(AUTOEVENTO="Manual",ROUND(SUMPRODUCT((CÁLCULO!$M$15:$M$59=EVENTOS!$C33)*(OFFSET(CÁLCULO!$AA$15:$AA$59,0,Y$13))),2),0)</f>
        <v>0</v>
      </c>
    </row>
    <row r="34" customFormat="false" ht="12.75" hidden="false" customHeight="false" outlineLevel="0" collapsed="false">
      <c r="A34" s="178" t="str">
        <f aca="false">IF(D34="","","F")</f>
        <v/>
      </c>
      <c r="B34" s="0" t="str">
        <f aca="false">IF(OR(C34=" ",D34=""),"",CONCATENATE(C34,". ",D34))</f>
        <v/>
      </c>
      <c r="C34" s="263" t="str">
        <f aca="true" t="array" ref="C34:C34">IF(OR(ROW(C34)=ROW(EVENTOS.firstrow)+1,AND(OFFSET(C34,-1,0)&lt;&gt;" ",OFFSET(C34,-1,1)&lt;&gt;"")),OFFSET(C34,-1,0)+1," ")</f>
        <v> </v>
      </c>
      <c r="D34" s="264"/>
      <c r="E34" s="265" t="n">
        <f aca="true" t="array" ref="E34:E34">IF(AUTOEVENTO="Manual",ROUND(SUMPRODUCT((CÁLCULO!$M$15:$M$59=EVENTOS!$C34)*(OFFSET(CÁLCULO!$AA$15:$AA$59,0,E$13))),2),0)</f>
        <v>0</v>
      </c>
      <c r="F34" s="266" t="n">
        <f aca="true">IF(AUTOEVENTO="Manual",ROUND(SUMPRODUCT((CÁLCULO!$M$15:$M$59=EVENTOS!$C34)*(OFFSET(CÁLCULO!$AA$15,0,1):OFFSET(CÁLCULO!$AL$59,0,-1))),2),0)</f>
        <v>0</v>
      </c>
      <c r="G34" s="267" t="str">
        <f aca="false">IF(AND(D34=0,F34&gt;0),"NOME",
 IF(AND(D34&lt;&gt;0,$F$14&gt;0,F34=0),"VALOR",
 IF(AND(Import.TipoArredondamento="TransfereGOV",$A34="F",LEN(D34)&gt;100),"Nome &gt;100","")))</f>
        <v/>
      </c>
      <c r="H34" s="265" t="n">
        <f aca="true" t="array" ref="H34:H34">IF(AUTOEVENTO="Manual",ROUND(SUMPRODUCT((CÁLCULO!$M$15:$M$59=EVENTOS!$C34)*(OFFSET(CÁLCULO!$AA$15:$AA$59,0,H$13))),2),0)</f>
        <v>0</v>
      </c>
      <c r="I34" s="265" t="n">
        <f aca="true" t="array" ref="I34:I34">IF(AUTOEVENTO="Manual",ROUND(SUMPRODUCT((CÁLCULO!$M$15:$M$59=EVENTOS!$C34)*(OFFSET(CÁLCULO!$AA$15:$AA$59,0,I$13))),2),0)</f>
        <v>0</v>
      </c>
      <c r="J34" s="265" t="n">
        <f aca="true" t="array" ref="J34:J34">IF(AUTOEVENTO="Manual",ROUND(SUMPRODUCT((CÁLCULO!$M$15:$M$59=EVENTOS!$C34)*(OFFSET(CÁLCULO!$AA$15:$AA$59,0,J$13))),2),0)</f>
        <v>0</v>
      </c>
      <c r="K34" s="265" t="n">
        <f aca="true" t="array" ref="K34:K34">IF(AUTOEVENTO="Manual",ROUND(SUMPRODUCT((CÁLCULO!$M$15:$M$59=EVENTOS!$C34)*(OFFSET(CÁLCULO!$AA$15:$AA$59,0,K$13))),2),0)</f>
        <v>0</v>
      </c>
      <c r="L34" s="265" t="n">
        <f aca="true" t="array" ref="L34:L34">IF(AUTOEVENTO="Manual",ROUND(SUMPRODUCT((CÁLCULO!$M$15:$M$59=EVENTOS!$C34)*(OFFSET(CÁLCULO!$AA$15:$AA$59,0,L$13))),2),0)</f>
        <v>0</v>
      </c>
      <c r="M34" s="265" t="n">
        <f aca="true" t="array" ref="M34:M34">IF(AUTOEVENTO="Manual",ROUND(SUMPRODUCT((CÁLCULO!$M$15:$M$59=EVENTOS!$C34)*(OFFSET(CÁLCULO!$AA$15:$AA$59,0,M$13))),2),0)</f>
        <v>0</v>
      </c>
      <c r="N34" s="265" t="n">
        <f aca="true" t="array" ref="N34:N34">IF(AUTOEVENTO="Manual",ROUND(SUMPRODUCT((CÁLCULO!$M$15:$M$59=EVENTOS!$C34)*(OFFSET(CÁLCULO!$AA$15:$AA$59,0,N$13))),2),0)</f>
        <v>0</v>
      </c>
      <c r="O34" s="265" t="n">
        <f aca="true" t="array" ref="O34:O34">IF(AUTOEVENTO="Manual",ROUND(SUMPRODUCT((CÁLCULO!$M$15:$M$59=EVENTOS!$C34)*(OFFSET(CÁLCULO!$AA$15:$AA$59,0,O$13))),2),0)</f>
        <v>0</v>
      </c>
      <c r="P34" s="265" t="n">
        <f aca="true" t="array" ref="P34:P34">IF(AUTOEVENTO="Manual",ROUND(SUMPRODUCT((CÁLCULO!$M$15:$M$59=EVENTOS!$C34)*(OFFSET(CÁLCULO!$AA$15:$AA$59,0,P$13))),2),0)</f>
        <v>0</v>
      </c>
      <c r="Q34" s="265" t="n">
        <f aca="true" t="array" ref="Q34:Q34">IF(AUTOEVENTO="Manual",ROUND(SUMPRODUCT((CÁLCULO!$M$15:$M$59=EVENTOS!$C34)*(OFFSET(CÁLCULO!$AA$15:$AA$59,0,Q$13))),2),0)</f>
        <v>0</v>
      </c>
      <c r="R34" s="265" t="n">
        <f aca="true" t="array" ref="R34:R34">IF(AUTOEVENTO="Manual",ROUND(SUMPRODUCT((CÁLCULO!$M$15:$M$59=EVENTOS!$C34)*(OFFSET(CÁLCULO!$AA$15:$AA$59,0,R$13))),2),0)</f>
        <v>0</v>
      </c>
      <c r="S34" s="265" t="n">
        <f aca="true" t="array" ref="S34:S34">IF(AUTOEVENTO="Manual",ROUND(SUMPRODUCT((CÁLCULO!$M$15:$M$59=EVENTOS!$C34)*(OFFSET(CÁLCULO!$AA$15:$AA$59,0,S$13))),2),0)</f>
        <v>0</v>
      </c>
      <c r="T34" s="265" t="n">
        <f aca="true" t="array" ref="T34:T34">IF(AUTOEVENTO="Manual",ROUND(SUMPRODUCT((CÁLCULO!$M$15:$M$59=EVENTOS!$C34)*(OFFSET(CÁLCULO!$AA$15:$AA$59,0,T$13))),2),0)</f>
        <v>0</v>
      </c>
      <c r="U34" s="265" t="n">
        <f aca="true" t="array" ref="U34:U34">IF(AUTOEVENTO="Manual",ROUND(SUMPRODUCT((CÁLCULO!$M$15:$M$59=EVENTOS!$C34)*(OFFSET(CÁLCULO!$AA$15:$AA$59,0,U$13))),2),0)</f>
        <v>0</v>
      </c>
      <c r="V34" s="265" t="n">
        <f aca="true" t="array" ref="V34:V34">IF(AUTOEVENTO="Manual",ROUND(SUMPRODUCT((CÁLCULO!$M$15:$M$59=EVENTOS!$C34)*(OFFSET(CÁLCULO!$AA$15:$AA$59,0,V$13))),2),0)</f>
        <v>0</v>
      </c>
      <c r="W34" s="265" t="n">
        <f aca="true" t="array" ref="W34:W34">IF(AUTOEVENTO="Manual",ROUND(SUMPRODUCT((CÁLCULO!$M$15:$M$59=EVENTOS!$C34)*(OFFSET(CÁLCULO!$AA$15:$AA$59,0,W$13))),2),0)</f>
        <v>0</v>
      </c>
      <c r="X34" s="265" t="n">
        <f aca="true" t="array" ref="X34:X34">IF(AUTOEVENTO="Manual",ROUND(SUMPRODUCT((CÁLCULO!$M$15:$M$59=EVENTOS!$C34)*(OFFSET(CÁLCULO!$AA$15:$AA$59,0,X$13))),2),0)</f>
        <v>0</v>
      </c>
      <c r="Y34" s="265" t="n">
        <f aca="true" t="array" ref="Y34:Y34">IF(AUTOEVENTO="Manual",ROUND(SUMPRODUCT((CÁLCULO!$M$15:$M$59=EVENTOS!$C34)*(OFFSET(CÁLCULO!$AA$15:$AA$59,0,Y$13))),2),0)</f>
        <v>0</v>
      </c>
    </row>
    <row r="35" customFormat="false" ht="12.75" hidden="false" customHeight="false" outlineLevel="0" collapsed="false">
      <c r="A35" s="178" t="str">
        <f aca="false">IF(D35="","","F")</f>
        <v/>
      </c>
      <c r="B35" s="0" t="str">
        <f aca="false">IF(OR(C35=" ",D35=""),"",CONCATENATE(C35,". ",D35))</f>
        <v/>
      </c>
      <c r="C35" s="263" t="str">
        <f aca="true" t="array" ref="C35:C35">IF(OR(ROW(C35)=ROW(EVENTOS.firstrow)+1,AND(OFFSET(C35,-1,0)&lt;&gt;" ",OFFSET(C35,-1,1)&lt;&gt;"")),OFFSET(C35,-1,0)+1," ")</f>
        <v> </v>
      </c>
      <c r="D35" s="264"/>
      <c r="E35" s="265" t="n">
        <f aca="true" t="array" ref="E35:E35">IF(AUTOEVENTO="Manual",ROUND(SUMPRODUCT((CÁLCULO!$M$15:$M$59=EVENTOS!$C35)*(OFFSET(CÁLCULO!$AA$15:$AA$59,0,E$13))),2),0)</f>
        <v>0</v>
      </c>
      <c r="F35" s="266" t="n">
        <f aca="true">IF(AUTOEVENTO="Manual",ROUND(SUMPRODUCT((CÁLCULO!$M$15:$M$59=EVENTOS!$C35)*(OFFSET(CÁLCULO!$AA$15,0,1):OFFSET(CÁLCULO!$AL$59,0,-1))),2),0)</f>
        <v>0</v>
      </c>
      <c r="G35" s="267" t="str">
        <f aca="false">IF(AND(D35=0,F35&gt;0),"NOME",
 IF(AND(D35&lt;&gt;0,$F$14&gt;0,F35=0),"VALOR",
 IF(AND(Import.TipoArredondamento="TransfereGOV",$A35="F",LEN(D35)&gt;100),"Nome &gt;100","")))</f>
        <v/>
      </c>
      <c r="H35" s="265" t="n">
        <f aca="true" t="array" ref="H35:H35">IF(AUTOEVENTO="Manual",ROUND(SUMPRODUCT((CÁLCULO!$M$15:$M$59=EVENTOS!$C35)*(OFFSET(CÁLCULO!$AA$15:$AA$59,0,H$13))),2),0)</f>
        <v>0</v>
      </c>
      <c r="I35" s="265" t="n">
        <f aca="true" t="array" ref="I35:I35">IF(AUTOEVENTO="Manual",ROUND(SUMPRODUCT((CÁLCULO!$M$15:$M$59=EVENTOS!$C35)*(OFFSET(CÁLCULO!$AA$15:$AA$59,0,I$13))),2),0)</f>
        <v>0</v>
      </c>
      <c r="J35" s="265" t="n">
        <f aca="true" t="array" ref="J35:J35">IF(AUTOEVENTO="Manual",ROUND(SUMPRODUCT((CÁLCULO!$M$15:$M$59=EVENTOS!$C35)*(OFFSET(CÁLCULO!$AA$15:$AA$59,0,J$13))),2),0)</f>
        <v>0</v>
      </c>
      <c r="K35" s="265" t="n">
        <f aca="true" t="array" ref="K35:K35">IF(AUTOEVENTO="Manual",ROUND(SUMPRODUCT((CÁLCULO!$M$15:$M$59=EVENTOS!$C35)*(OFFSET(CÁLCULO!$AA$15:$AA$59,0,K$13))),2),0)</f>
        <v>0</v>
      </c>
      <c r="L35" s="265" t="n">
        <f aca="true" t="array" ref="L35:L35">IF(AUTOEVENTO="Manual",ROUND(SUMPRODUCT((CÁLCULO!$M$15:$M$59=EVENTOS!$C35)*(OFFSET(CÁLCULO!$AA$15:$AA$59,0,L$13))),2),0)</f>
        <v>0</v>
      </c>
      <c r="M35" s="265" t="n">
        <f aca="true" t="array" ref="M35:M35">IF(AUTOEVENTO="Manual",ROUND(SUMPRODUCT((CÁLCULO!$M$15:$M$59=EVENTOS!$C35)*(OFFSET(CÁLCULO!$AA$15:$AA$59,0,M$13))),2),0)</f>
        <v>0</v>
      </c>
      <c r="N35" s="265" t="n">
        <f aca="true" t="array" ref="N35:N35">IF(AUTOEVENTO="Manual",ROUND(SUMPRODUCT((CÁLCULO!$M$15:$M$59=EVENTOS!$C35)*(OFFSET(CÁLCULO!$AA$15:$AA$59,0,N$13))),2),0)</f>
        <v>0</v>
      </c>
      <c r="O35" s="265" t="n">
        <f aca="true" t="array" ref="O35:O35">IF(AUTOEVENTO="Manual",ROUND(SUMPRODUCT((CÁLCULO!$M$15:$M$59=EVENTOS!$C35)*(OFFSET(CÁLCULO!$AA$15:$AA$59,0,O$13))),2),0)</f>
        <v>0</v>
      </c>
      <c r="P35" s="265" t="n">
        <f aca="true" t="array" ref="P35:P35">IF(AUTOEVENTO="Manual",ROUND(SUMPRODUCT((CÁLCULO!$M$15:$M$59=EVENTOS!$C35)*(OFFSET(CÁLCULO!$AA$15:$AA$59,0,P$13))),2),0)</f>
        <v>0</v>
      </c>
      <c r="Q35" s="265" t="n">
        <f aca="true" t="array" ref="Q35:Q35">IF(AUTOEVENTO="Manual",ROUND(SUMPRODUCT((CÁLCULO!$M$15:$M$59=EVENTOS!$C35)*(OFFSET(CÁLCULO!$AA$15:$AA$59,0,Q$13))),2),0)</f>
        <v>0</v>
      </c>
      <c r="R35" s="265" t="n">
        <f aca="true" t="array" ref="R35:R35">IF(AUTOEVENTO="Manual",ROUND(SUMPRODUCT((CÁLCULO!$M$15:$M$59=EVENTOS!$C35)*(OFFSET(CÁLCULO!$AA$15:$AA$59,0,R$13))),2),0)</f>
        <v>0</v>
      </c>
      <c r="S35" s="265" t="n">
        <f aca="true" t="array" ref="S35:S35">IF(AUTOEVENTO="Manual",ROUND(SUMPRODUCT((CÁLCULO!$M$15:$M$59=EVENTOS!$C35)*(OFFSET(CÁLCULO!$AA$15:$AA$59,0,S$13))),2),0)</f>
        <v>0</v>
      </c>
      <c r="T35" s="265" t="n">
        <f aca="true" t="array" ref="T35:T35">IF(AUTOEVENTO="Manual",ROUND(SUMPRODUCT((CÁLCULO!$M$15:$M$59=EVENTOS!$C35)*(OFFSET(CÁLCULO!$AA$15:$AA$59,0,T$13))),2),0)</f>
        <v>0</v>
      </c>
      <c r="U35" s="265" t="n">
        <f aca="true" t="array" ref="U35:U35">IF(AUTOEVENTO="Manual",ROUND(SUMPRODUCT((CÁLCULO!$M$15:$M$59=EVENTOS!$C35)*(OFFSET(CÁLCULO!$AA$15:$AA$59,0,U$13))),2),0)</f>
        <v>0</v>
      </c>
      <c r="V35" s="265" t="n">
        <f aca="true" t="array" ref="V35:V35">IF(AUTOEVENTO="Manual",ROUND(SUMPRODUCT((CÁLCULO!$M$15:$M$59=EVENTOS!$C35)*(OFFSET(CÁLCULO!$AA$15:$AA$59,0,V$13))),2),0)</f>
        <v>0</v>
      </c>
      <c r="W35" s="265" t="n">
        <f aca="true" t="array" ref="W35:W35">IF(AUTOEVENTO="Manual",ROUND(SUMPRODUCT((CÁLCULO!$M$15:$M$59=EVENTOS!$C35)*(OFFSET(CÁLCULO!$AA$15:$AA$59,0,W$13))),2),0)</f>
        <v>0</v>
      </c>
      <c r="X35" s="265" t="n">
        <f aca="true" t="array" ref="X35:X35">IF(AUTOEVENTO="Manual",ROUND(SUMPRODUCT((CÁLCULO!$M$15:$M$59=EVENTOS!$C35)*(OFFSET(CÁLCULO!$AA$15:$AA$59,0,X$13))),2),0)</f>
        <v>0</v>
      </c>
      <c r="Y35" s="265" t="n">
        <f aca="true" t="array" ref="Y35:Y35">IF(AUTOEVENTO="Manual",ROUND(SUMPRODUCT((CÁLCULO!$M$15:$M$59=EVENTOS!$C35)*(OFFSET(CÁLCULO!$AA$15:$AA$59,0,Y$13))),2),0)</f>
        <v>0</v>
      </c>
    </row>
    <row r="36" customFormat="false" ht="12.75" hidden="false" customHeight="false" outlineLevel="0" collapsed="false">
      <c r="A36" s="178" t="str">
        <f aca="false">IF(D36="","","F")</f>
        <v/>
      </c>
      <c r="B36" s="0" t="str">
        <f aca="false">IF(OR(C36=" ",D36=""),"",CONCATENATE(C36,". ",D36))</f>
        <v/>
      </c>
      <c r="C36" s="263" t="str">
        <f aca="true" t="array" ref="C36:C36">IF(OR(ROW(C36)=ROW(EVENTOS.firstrow)+1,AND(OFFSET(C36,-1,0)&lt;&gt;" ",OFFSET(C36,-1,1)&lt;&gt;"")),OFFSET(C36,-1,0)+1," ")</f>
        <v> </v>
      </c>
      <c r="D36" s="264"/>
      <c r="E36" s="265" t="n">
        <f aca="true" t="array" ref="E36:E36">IF(AUTOEVENTO="Manual",ROUND(SUMPRODUCT((CÁLCULO!$M$15:$M$59=EVENTOS!$C36)*(OFFSET(CÁLCULO!$AA$15:$AA$59,0,E$13))),2),0)</f>
        <v>0</v>
      </c>
      <c r="F36" s="266" t="n">
        <f aca="true">IF(AUTOEVENTO="Manual",ROUND(SUMPRODUCT((CÁLCULO!$M$15:$M$59=EVENTOS!$C36)*(OFFSET(CÁLCULO!$AA$15,0,1):OFFSET(CÁLCULO!$AL$59,0,-1))),2),0)</f>
        <v>0</v>
      </c>
      <c r="G36" s="267" t="str">
        <f aca="false">IF(AND(D36=0,F36&gt;0),"NOME",
 IF(AND(D36&lt;&gt;0,$F$14&gt;0,F36=0),"VALOR",
 IF(AND(Import.TipoArredondamento="TransfereGOV",$A36="F",LEN(D36)&gt;100),"Nome &gt;100","")))</f>
        <v/>
      </c>
      <c r="H36" s="265" t="n">
        <f aca="true" t="array" ref="H36:H36">IF(AUTOEVENTO="Manual",ROUND(SUMPRODUCT((CÁLCULO!$M$15:$M$59=EVENTOS!$C36)*(OFFSET(CÁLCULO!$AA$15:$AA$59,0,H$13))),2),0)</f>
        <v>0</v>
      </c>
      <c r="I36" s="265" t="n">
        <f aca="true" t="array" ref="I36:I36">IF(AUTOEVENTO="Manual",ROUND(SUMPRODUCT((CÁLCULO!$M$15:$M$59=EVENTOS!$C36)*(OFFSET(CÁLCULO!$AA$15:$AA$59,0,I$13))),2),0)</f>
        <v>0</v>
      </c>
      <c r="J36" s="265" t="n">
        <f aca="true" t="array" ref="J36:J36">IF(AUTOEVENTO="Manual",ROUND(SUMPRODUCT((CÁLCULO!$M$15:$M$59=EVENTOS!$C36)*(OFFSET(CÁLCULO!$AA$15:$AA$59,0,J$13))),2),0)</f>
        <v>0</v>
      </c>
      <c r="K36" s="265" t="n">
        <f aca="true" t="array" ref="K36:K36">IF(AUTOEVENTO="Manual",ROUND(SUMPRODUCT((CÁLCULO!$M$15:$M$59=EVENTOS!$C36)*(OFFSET(CÁLCULO!$AA$15:$AA$59,0,K$13))),2),0)</f>
        <v>0</v>
      </c>
      <c r="L36" s="265" t="n">
        <f aca="true" t="array" ref="L36:L36">IF(AUTOEVENTO="Manual",ROUND(SUMPRODUCT((CÁLCULO!$M$15:$M$59=EVENTOS!$C36)*(OFFSET(CÁLCULO!$AA$15:$AA$59,0,L$13))),2),0)</f>
        <v>0</v>
      </c>
      <c r="M36" s="265" t="n">
        <f aca="true" t="array" ref="M36:M36">IF(AUTOEVENTO="Manual",ROUND(SUMPRODUCT((CÁLCULO!$M$15:$M$59=EVENTOS!$C36)*(OFFSET(CÁLCULO!$AA$15:$AA$59,0,M$13))),2),0)</f>
        <v>0</v>
      </c>
      <c r="N36" s="265" t="n">
        <f aca="true" t="array" ref="N36:N36">IF(AUTOEVENTO="Manual",ROUND(SUMPRODUCT((CÁLCULO!$M$15:$M$59=EVENTOS!$C36)*(OFFSET(CÁLCULO!$AA$15:$AA$59,0,N$13))),2),0)</f>
        <v>0</v>
      </c>
      <c r="O36" s="265" t="n">
        <f aca="true" t="array" ref="O36:O36">IF(AUTOEVENTO="Manual",ROUND(SUMPRODUCT((CÁLCULO!$M$15:$M$59=EVENTOS!$C36)*(OFFSET(CÁLCULO!$AA$15:$AA$59,0,O$13))),2),0)</f>
        <v>0</v>
      </c>
      <c r="P36" s="265" t="n">
        <f aca="true" t="array" ref="P36:P36">IF(AUTOEVENTO="Manual",ROUND(SUMPRODUCT((CÁLCULO!$M$15:$M$59=EVENTOS!$C36)*(OFFSET(CÁLCULO!$AA$15:$AA$59,0,P$13))),2),0)</f>
        <v>0</v>
      </c>
      <c r="Q36" s="265" t="n">
        <f aca="true" t="array" ref="Q36:Q36">IF(AUTOEVENTO="Manual",ROUND(SUMPRODUCT((CÁLCULO!$M$15:$M$59=EVENTOS!$C36)*(OFFSET(CÁLCULO!$AA$15:$AA$59,0,Q$13))),2),0)</f>
        <v>0</v>
      </c>
      <c r="R36" s="265" t="n">
        <f aca="true" t="array" ref="R36:R36">IF(AUTOEVENTO="Manual",ROUND(SUMPRODUCT((CÁLCULO!$M$15:$M$59=EVENTOS!$C36)*(OFFSET(CÁLCULO!$AA$15:$AA$59,0,R$13))),2),0)</f>
        <v>0</v>
      </c>
      <c r="S36" s="265" t="n">
        <f aca="true" t="array" ref="S36:S36">IF(AUTOEVENTO="Manual",ROUND(SUMPRODUCT((CÁLCULO!$M$15:$M$59=EVENTOS!$C36)*(OFFSET(CÁLCULO!$AA$15:$AA$59,0,S$13))),2),0)</f>
        <v>0</v>
      </c>
      <c r="T36" s="265" t="n">
        <f aca="true" t="array" ref="T36:T36">IF(AUTOEVENTO="Manual",ROUND(SUMPRODUCT((CÁLCULO!$M$15:$M$59=EVENTOS!$C36)*(OFFSET(CÁLCULO!$AA$15:$AA$59,0,T$13))),2),0)</f>
        <v>0</v>
      </c>
      <c r="U36" s="265" t="n">
        <f aca="true" t="array" ref="U36:U36">IF(AUTOEVENTO="Manual",ROUND(SUMPRODUCT((CÁLCULO!$M$15:$M$59=EVENTOS!$C36)*(OFFSET(CÁLCULO!$AA$15:$AA$59,0,U$13))),2),0)</f>
        <v>0</v>
      </c>
      <c r="V36" s="265" t="n">
        <f aca="true" t="array" ref="V36:V36">IF(AUTOEVENTO="Manual",ROUND(SUMPRODUCT((CÁLCULO!$M$15:$M$59=EVENTOS!$C36)*(OFFSET(CÁLCULO!$AA$15:$AA$59,0,V$13))),2),0)</f>
        <v>0</v>
      </c>
      <c r="W36" s="265" t="n">
        <f aca="true" t="array" ref="W36:W36">IF(AUTOEVENTO="Manual",ROUND(SUMPRODUCT((CÁLCULO!$M$15:$M$59=EVENTOS!$C36)*(OFFSET(CÁLCULO!$AA$15:$AA$59,0,W$13))),2),0)</f>
        <v>0</v>
      </c>
      <c r="X36" s="265" t="n">
        <f aca="true" t="array" ref="X36:X36">IF(AUTOEVENTO="Manual",ROUND(SUMPRODUCT((CÁLCULO!$M$15:$M$59=EVENTOS!$C36)*(OFFSET(CÁLCULO!$AA$15:$AA$59,0,X$13))),2),0)</f>
        <v>0</v>
      </c>
      <c r="Y36" s="265" t="n">
        <f aca="true" t="array" ref="Y36:Y36">IF(AUTOEVENTO="Manual",ROUND(SUMPRODUCT((CÁLCULO!$M$15:$M$59=EVENTOS!$C36)*(OFFSET(CÁLCULO!$AA$15:$AA$59,0,Y$13))),2),0)</f>
        <v>0</v>
      </c>
    </row>
    <row r="37" customFormat="false" ht="12.75" hidden="false" customHeight="false" outlineLevel="0" collapsed="false">
      <c r="A37" s="178" t="str">
        <f aca="false">IF(D37="","","F")</f>
        <v/>
      </c>
      <c r="B37" s="0" t="str">
        <f aca="false">IF(OR(C37=" ",D37=""),"",CONCATENATE(C37,". ",D37))</f>
        <v/>
      </c>
      <c r="C37" s="263" t="str">
        <f aca="true" t="array" ref="C37:C37">IF(OR(ROW(C37)=ROW(EVENTOS.firstrow)+1,AND(OFFSET(C37,-1,0)&lt;&gt;" ",OFFSET(C37,-1,1)&lt;&gt;"")),OFFSET(C37,-1,0)+1," ")</f>
        <v> </v>
      </c>
      <c r="D37" s="264"/>
      <c r="E37" s="265" t="n">
        <f aca="true" t="array" ref="E37:E37">IF(AUTOEVENTO="Manual",ROUND(SUMPRODUCT((CÁLCULO!$M$15:$M$59=EVENTOS!$C37)*(OFFSET(CÁLCULO!$AA$15:$AA$59,0,E$13))),2),0)</f>
        <v>0</v>
      </c>
      <c r="F37" s="266" t="n">
        <f aca="true">IF(AUTOEVENTO="Manual",ROUND(SUMPRODUCT((CÁLCULO!$M$15:$M$59=EVENTOS!$C37)*(OFFSET(CÁLCULO!$AA$15,0,1):OFFSET(CÁLCULO!$AL$59,0,-1))),2),0)</f>
        <v>0</v>
      </c>
      <c r="G37" s="267" t="str">
        <f aca="false">IF(AND(D37=0,F37&gt;0),"NOME",
 IF(AND(D37&lt;&gt;0,$F$14&gt;0,F37=0),"VALOR",
 IF(AND(Import.TipoArredondamento="TransfereGOV",$A37="F",LEN(D37)&gt;100),"Nome &gt;100","")))</f>
        <v/>
      </c>
      <c r="H37" s="265" t="n">
        <f aca="true" t="array" ref="H37:H37">IF(AUTOEVENTO="Manual",ROUND(SUMPRODUCT((CÁLCULO!$M$15:$M$59=EVENTOS!$C37)*(OFFSET(CÁLCULO!$AA$15:$AA$59,0,H$13))),2),0)</f>
        <v>0</v>
      </c>
      <c r="I37" s="265" t="n">
        <f aca="true" t="array" ref="I37:I37">IF(AUTOEVENTO="Manual",ROUND(SUMPRODUCT((CÁLCULO!$M$15:$M$59=EVENTOS!$C37)*(OFFSET(CÁLCULO!$AA$15:$AA$59,0,I$13))),2),0)</f>
        <v>0</v>
      </c>
      <c r="J37" s="265" t="n">
        <f aca="true" t="array" ref="J37:J37">IF(AUTOEVENTO="Manual",ROUND(SUMPRODUCT((CÁLCULO!$M$15:$M$59=EVENTOS!$C37)*(OFFSET(CÁLCULO!$AA$15:$AA$59,0,J$13))),2),0)</f>
        <v>0</v>
      </c>
      <c r="K37" s="265" t="n">
        <f aca="true" t="array" ref="K37:K37">IF(AUTOEVENTO="Manual",ROUND(SUMPRODUCT((CÁLCULO!$M$15:$M$59=EVENTOS!$C37)*(OFFSET(CÁLCULO!$AA$15:$AA$59,0,K$13))),2),0)</f>
        <v>0</v>
      </c>
      <c r="L37" s="265" t="n">
        <f aca="true" t="array" ref="L37:L37">IF(AUTOEVENTO="Manual",ROUND(SUMPRODUCT((CÁLCULO!$M$15:$M$59=EVENTOS!$C37)*(OFFSET(CÁLCULO!$AA$15:$AA$59,0,L$13))),2),0)</f>
        <v>0</v>
      </c>
      <c r="M37" s="265" t="n">
        <f aca="true" t="array" ref="M37:M37">IF(AUTOEVENTO="Manual",ROUND(SUMPRODUCT((CÁLCULO!$M$15:$M$59=EVENTOS!$C37)*(OFFSET(CÁLCULO!$AA$15:$AA$59,0,M$13))),2),0)</f>
        <v>0</v>
      </c>
      <c r="N37" s="265" t="n">
        <f aca="true" t="array" ref="N37:N37">IF(AUTOEVENTO="Manual",ROUND(SUMPRODUCT((CÁLCULO!$M$15:$M$59=EVENTOS!$C37)*(OFFSET(CÁLCULO!$AA$15:$AA$59,0,N$13))),2),0)</f>
        <v>0</v>
      </c>
      <c r="O37" s="265" t="n">
        <f aca="true" t="array" ref="O37:O37">IF(AUTOEVENTO="Manual",ROUND(SUMPRODUCT((CÁLCULO!$M$15:$M$59=EVENTOS!$C37)*(OFFSET(CÁLCULO!$AA$15:$AA$59,0,O$13))),2),0)</f>
        <v>0</v>
      </c>
      <c r="P37" s="265" t="n">
        <f aca="true" t="array" ref="P37:P37">IF(AUTOEVENTO="Manual",ROUND(SUMPRODUCT((CÁLCULO!$M$15:$M$59=EVENTOS!$C37)*(OFFSET(CÁLCULO!$AA$15:$AA$59,0,P$13))),2),0)</f>
        <v>0</v>
      </c>
      <c r="Q37" s="265" t="n">
        <f aca="true" t="array" ref="Q37:Q37">IF(AUTOEVENTO="Manual",ROUND(SUMPRODUCT((CÁLCULO!$M$15:$M$59=EVENTOS!$C37)*(OFFSET(CÁLCULO!$AA$15:$AA$59,0,Q$13))),2),0)</f>
        <v>0</v>
      </c>
      <c r="R37" s="265" t="n">
        <f aca="true" t="array" ref="R37:R37">IF(AUTOEVENTO="Manual",ROUND(SUMPRODUCT((CÁLCULO!$M$15:$M$59=EVENTOS!$C37)*(OFFSET(CÁLCULO!$AA$15:$AA$59,0,R$13))),2),0)</f>
        <v>0</v>
      </c>
      <c r="S37" s="265" t="n">
        <f aca="true" t="array" ref="S37:S37">IF(AUTOEVENTO="Manual",ROUND(SUMPRODUCT((CÁLCULO!$M$15:$M$59=EVENTOS!$C37)*(OFFSET(CÁLCULO!$AA$15:$AA$59,0,S$13))),2),0)</f>
        <v>0</v>
      </c>
      <c r="T37" s="265" t="n">
        <f aca="true" t="array" ref="T37:T37">IF(AUTOEVENTO="Manual",ROUND(SUMPRODUCT((CÁLCULO!$M$15:$M$59=EVENTOS!$C37)*(OFFSET(CÁLCULO!$AA$15:$AA$59,0,T$13))),2),0)</f>
        <v>0</v>
      </c>
      <c r="U37" s="265" t="n">
        <f aca="true" t="array" ref="U37:U37">IF(AUTOEVENTO="Manual",ROUND(SUMPRODUCT((CÁLCULO!$M$15:$M$59=EVENTOS!$C37)*(OFFSET(CÁLCULO!$AA$15:$AA$59,0,U$13))),2),0)</f>
        <v>0</v>
      </c>
      <c r="V37" s="265" t="n">
        <f aca="true" t="array" ref="V37:V37">IF(AUTOEVENTO="Manual",ROUND(SUMPRODUCT((CÁLCULO!$M$15:$M$59=EVENTOS!$C37)*(OFFSET(CÁLCULO!$AA$15:$AA$59,0,V$13))),2),0)</f>
        <v>0</v>
      </c>
      <c r="W37" s="265" t="n">
        <f aca="true" t="array" ref="W37:W37">IF(AUTOEVENTO="Manual",ROUND(SUMPRODUCT((CÁLCULO!$M$15:$M$59=EVENTOS!$C37)*(OFFSET(CÁLCULO!$AA$15:$AA$59,0,W$13))),2),0)</f>
        <v>0</v>
      </c>
      <c r="X37" s="265" t="n">
        <f aca="true" t="array" ref="X37:X37">IF(AUTOEVENTO="Manual",ROUND(SUMPRODUCT((CÁLCULO!$M$15:$M$59=EVENTOS!$C37)*(OFFSET(CÁLCULO!$AA$15:$AA$59,0,X$13))),2),0)</f>
        <v>0</v>
      </c>
      <c r="Y37" s="265" t="n">
        <f aca="true" t="array" ref="Y37:Y37">IF(AUTOEVENTO="Manual",ROUND(SUMPRODUCT((CÁLCULO!$M$15:$M$59=EVENTOS!$C37)*(OFFSET(CÁLCULO!$AA$15:$AA$59,0,Y$13))),2),0)</f>
        <v>0</v>
      </c>
    </row>
    <row r="38" customFormat="false" ht="12.75" hidden="false" customHeight="false" outlineLevel="0" collapsed="false">
      <c r="A38" s="178" t="str">
        <f aca="false">IF(D38="","","F")</f>
        <v/>
      </c>
      <c r="B38" s="0" t="str">
        <f aca="false">IF(OR(C38=" ",D38=""),"",CONCATENATE(C38,". ",D38))</f>
        <v/>
      </c>
      <c r="C38" s="263" t="str">
        <f aca="true" t="array" ref="C38:C38">IF(OR(ROW(C38)=ROW(EVENTOS.firstrow)+1,AND(OFFSET(C38,-1,0)&lt;&gt;" ",OFFSET(C38,-1,1)&lt;&gt;"")),OFFSET(C38,-1,0)+1," ")</f>
        <v> </v>
      </c>
      <c r="D38" s="264"/>
      <c r="E38" s="265" t="n">
        <f aca="true" t="array" ref="E38:E38">IF(AUTOEVENTO="Manual",ROUND(SUMPRODUCT((CÁLCULO!$M$15:$M$59=EVENTOS!$C38)*(OFFSET(CÁLCULO!$AA$15:$AA$59,0,E$13))),2),0)</f>
        <v>0</v>
      </c>
      <c r="F38" s="266" t="n">
        <f aca="true">IF(AUTOEVENTO="Manual",ROUND(SUMPRODUCT((CÁLCULO!$M$15:$M$59=EVENTOS!$C38)*(OFFSET(CÁLCULO!$AA$15,0,1):OFFSET(CÁLCULO!$AL$59,0,-1))),2),0)</f>
        <v>0</v>
      </c>
      <c r="G38" s="267" t="str">
        <f aca="false">IF(AND(D38=0,F38&gt;0),"NOME",
 IF(AND(D38&lt;&gt;0,$F$14&gt;0,F38=0),"VALOR",
 IF(AND(Import.TipoArredondamento="TransfereGOV",$A38="F",LEN(D38)&gt;100),"Nome &gt;100","")))</f>
        <v/>
      </c>
      <c r="H38" s="265" t="n">
        <f aca="true" t="array" ref="H38:H38">IF(AUTOEVENTO="Manual",ROUND(SUMPRODUCT((CÁLCULO!$M$15:$M$59=EVENTOS!$C38)*(OFFSET(CÁLCULO!$AA$15:$AA$59,0,H$13))),2),0)</f>
        <v>0</v>
      </c>
      <c r="I38" s="265" t="n">
        <f aca="true" t="array" ref="I38:I38">IF(AUTOEVENTO="Manual",ROUND(SUMPRODUCT((CÁLCULO!$M$15:$M$59=EVENTOS!$C38)*(OFFSET(CÁLCULO!$AA$15:$AA$59,0,I$13))),2),0)</f>
        <v>0</v>
      </c>
      <c r="J38" s="265" t="n">
        <f aca="true" t="array" ref="J38:J38">IF(AUTOEVENTO="Manual",ROUND(SUMPRODUCT((CÁLCULO!$M$15:$M$59=EVENTOS!$C38)*(OFFSET(CÁLCULO!$AA$15:$AA$59,0,J$13))),2),0)</f>
        <v>0</v>
      </c>
      <c r="K38" s="265" t="n">
        <f aca="true" t="array" ref="K38:K38">IF(AUTOEVENTO="Manual",ROUND(SUMPRODUCT((CÁLCULO!$M$15:$M$59=EVENTOS!$C38)*(OFFSET(CÁLCULO!$AA$15:$AA$59,0,K$13))),2),0)</f>
        <v>0</v>
      </c>
      <c r="L38" s="265" t="n">
        <f aca="true" t="array" ref="L38:L38">IF(AUTOEVENTO="Manual",ROUND(SUMPRODUCT((CÁLCULO!$M$15:$M$59=EVENTOS!$C38)*(OFFSET(CÁLCULO!$AA$15:$AA$59,0,L$13))),2),0)</f>
        <v>0</v>
      </c>
      <c r="M38" s="265" t="n">
        <f aca="true" t="array" ref="M38:M38">IF(AUTOEVENTO="Manual",ROUND(SUMPRODUCT((CÁLCULO!$M$15:$M$59=EVENTOS!$C38)*(OFFSET(CÁLCULO!$AA$15:$AA$59,0,M$13))),2),0)</f>
        <v>0</v>
      </c>
      <c r="N38" s="265" t="n">
        <f aca="true" t="array" ref="N38:N38">IF(AUTOEVENTO="Manual",ROUND(SUMPRODUCT((CÁLCULO!$M$15:$M$59=EVENTOS!$C38)*(OFFSET(CÁLCULO!$AA$15:$AA$59,0,N$13))),2),0)</f>
        <v>0</v>
      </c>
      <c r="O38" s="265" t="n">
        <f aca="true" t="array" ref="O38:O38">IF(AUTOEVENTO="Manual",ROUND(SUMPRODUCT((CÁLCULO!$M$15:$M$59=EVENTOS!$C38)*(OFFSET(CÁLCULO!$AA$15:$AA$59,0,O$13))),2),0)</f>
        <v>0</v>
      </c>
      <c r="P38" s="265" t="n">
        <f aca="true" t="array" ref="P38:P38">IF(AUTOEVENTO="Manual",ROUND(SUMPRODUCT((CÁLCULO!$M$15:$M$59=EVENTOS!$C38)*(OFFSET(CÁLCULO!$AA$15:$AA$59,0,P$13))),2),0)</f>
        <v>0</v>
      </c>
      <c r="Q38" s="265" t="n">
        <f aca="true" t="array" ref="Q38:Q38">IF(AUTOEVENTO="Manual",ROUND(SUMPRODUCT((CÁLCULO!$M$15:$M$59=EVENTOS!$C38)*(OFFSET(CÁLCULO!$AA$15:$AA$59,0,Q$13))),2),0)</f>
        <v>0</v>
      </c>
      <c r="R38" s="265" t="n">
        <f aca="true" t="array" ref="R38:R38">IF(AUTOEVENTO="Manual",ROUND(SUMPRODUCT((CÁLCULO!$M$15:$M$59=EVENTOS!$C38)*(OFFSET(CÁLCULO!$AA$15:$AA$59,0,R$13))),2),0)</f>
        <v>0</v>
      </c>
      <c r="S38" s="265" t="n">
        <f aca="true" t="array" ref="S38:S38">IF(AUTOEVENTO="Manual",ROUND(SUMPRODUCT((CÁLCULO!$M$15:$M$59=EVENTOS!$C38)*(OFFSET(CÁLCULO!$AA$15:$AA$59,0,S$13))),2),0)</f>
        <v>0</v>
      </c>
      <c r="T38" s="265" t="n">
        <f aca="true" t="array" ref="T38:T38">IF(AUTOEVENTO="Manual",ROUND(SUMPRODUCT((CÁLCULO!$M$15:$M$59=EVENTOS!$C38)*(OFFSET(CÁLCULO!$AA$15:$AA$59,0,T$13))),2),0)</f>
        <v>0</v>
      </c>
      <c r="U38" s="265" t="n">
        <f aca="true" t="array" ref="U38:U38">IF(AUTOEVENTO="Manual",ROUND(SUMPRODUCT((CÁLCULO!$M$15:$M$59=EVENTOS!$C38)*(OFFSET(CÁLCULO!$AA$15:$AA$59,0,U$13))),2),0)</f>
        <v>0</v>
      </c>
      <c r="V38" s="265" t="n">
        <f aca="true" t="array" ref="V38:V38">IF(AUTOEVENTO="Manual",ROUND(SUMPRODUCT((CÁLCULO!$M$15:$M$59=EVENTOS!$C38)*(OFFSET(CÁLCULO!$AA$15:$AA$59,0,V$13))),2),0)</f>
        <v>0</v>
      </c>
      <c r="W38" s="265" t="n">
        <f aca="true" t="array" ref="W38:W38">IF(AUTOEVENTO="Manual",ROUND(SUMPRODUCT((CÁLCULO!$M$15:$M$59=EVENTOS!$C38)*(OFFSET(CÁLCULO!$AA$15:$AA$59,0,W$13))),2),0)</f>
        <v>0</v>
      </c>
      <c r="X38" s="265" t="n">
        <f aca="true" t="array" ref="X38:X38">IF(AUTOEVENTO="Manual",ROUND(SUMPRODUCT((CÁLCULO!$M$15:$M$59=EVENTOS!$C38)*(OFFSET(CÁLCULO!$AA$15:$AA$59,0,X$13))),2),0)</f>
        <v>0</v>
      </c>
      <c r="Y38" s="265" t="n">
        <f aca="true" t="array" ref="Y38:Y38">IF(AUTOEVENTO="Manual",ROUND(SUMPRODUCT((CÁLCULO!$M$15:$M$59=EVENTOS!$C38)*(OFFSET(CÁLCULO!$AA$15:$AA$59,0,Y$13))),2),0)</f>
        <v>0</v>
      </c>
    </row>
    <row r="39" customFormat="false" ht="12.75" hidden="false" customHeight="false" outlineLevel="0" collapsed="false">
      <c r="A39" s="178" t="str">
        <f aca="false">IF(D39="","","F")</f>
        <v/>
      </c>
      <c r="B39" s="0" t="str">
        <f aca="false">IF(OR(C39=" ",D39=""),"",CONCATENATE(C39,". ",D39))</f>
        <v/>
      </c>
      <c r="C39" s="263" t="str">
        <f aca="true" t="array" ref="C39:C39">IF(OR(ROW(C39)=ROW(EVENTOS.firstrow)+1,AND(OFFSET(C39,-1,0)&lt;&gt;" ",OFFSET(C39,-1,1)&lt;&gt;"")),OFFSET(C39,-1,0)+1," ")</f>
        <v> </v>
      </c>
      <c r="D39" s="264"/>
      <c r="E39" s="265" t="n">
        <f aca="true" t="array" ref="E39:E39">IF(AUTOEVENTO="Manual",ROUND(SUMPRODUCT((CÁLCULO!$M$15:$M$59=EVENTOS!$C39)*(OFFSET(CÁLCULO!$AA$15:$AA$59,0,E$13))),2),0)</f>
        <v>0</v>
      </c>
      <c r="F39" s="266" t="n">
        <f aca="true">IF(AUTOEVENTO="Manual",ROUND(SUMPRODUCT((CÁLCULO!$M$15:$M$59=EVENTOS!$C39)*(OFFSET(CÁLCULO!$AA$15,0,1):OFFSET(CÁLCULO!$AL$59,0,-1))),2),0)</f>
        <v>0</v>
      </c>
      <c r="G39" s="267" t="str">
        <f aca="false">IF(AND(D39=0,F39&gt;0),"NOME",
 IF(AND(D39&lt;&gt;0,$F$14&gt;0,F39=0),"VALOR",
 IF(AND(Import.TipoArredondamento="TransfereGOV",$A39="F",LEN(D39)&gt;100),"Nome &gt;100","")))</f>
        <v/>
      </c>
      <c r="H39" s="265" t="n">
        <f aca="true" t="array" ref="H39:H39">IF(AUTOEVENTO="Manual",ROUND(SUMPRODUCT((CÁLCULO!$M$15:$M$59=EVENTOS!$C39)*(OFFSET(CÁLCULO!$AA$15:$AA$59,0,H$13))),2),0)</f>
        <v>0</v>
      </c>
      <c r="I39" s="265" t="n">
        <f aca="true" t="array" ref="I39:I39">IF(AUTOEVENTO="Manual",ROUND(SUMPRODUCT((CÁLCULO!$M$15:$M$59=EVENTOS!$C39)*(OFFSET(CÁLCULO!$AA$15:$AA$59,0,I$13))),2),0)</f>
        <v>0</v>
      </c>
      <c r="J39" s="265" t="n">
        <f aca="true" t="array" ref="J39:J39">IF(AUTOEVENTO="Manual",ROUND(SUMPRODUCT((CÁLCULO!$M$15:$M$59=EVENTOS!$C39)*(OFFSET(CÁLCULO!$AA$15:$AA$59,0,J$13))),2),0)</f>
        <v>0</v>
      </c>
      <c r="K39" s="265" t="n">
        <f aca="true" t="array" ref="K39:K39">IF(AUTOEVENTO="Manual",ROUND(SUMPRODUCT((CÁLCULO!$M$15:$M$59=EVENTOS!$C39)*(OFFSET(CÁLCULO!$AA$15:$AA$59,0,K$13))),2),0)</f>
        <v>0</v>
      </c>
      <c r="L39" s="265" t="n">
        <f aca="true" t="array" ref="L39:L39">IF(AUTOEVENTO="Manual",ROUND(SUMPRODUCT((CÁLCULO!$M$15:$M$59=EVENTOS!$C39)*(OFFSET(CÁLCULO!$AA$15:$AA$59,0,L$13))),2),0)</f>
        <v>0</v>
      </c>
      <c r="M39" s="265" t="n">
        <f aca="true" t="array" ref="M39:M39">IF(AUTOEVENTO="Manual",ROUND(SUMPRODUCT((CÁLCULO!$M$15:$M$59=EVENTOS!$C39)*(OFFSET(CÁLCULO!$AA$15:$AA$59,0,M$13))),2),0)</f>
        <v>0</v>
      </c>
      <c r="N39" s="265" t="n">
        <f aca="true" t="array" ref="N39:N39">IF(AUTOEVENTO="Manual",ROUND(SUMPRODUCT((CÁLCULO!$M$15:$M$59=EVENTOS!$C39)*(OFFSET(CÁLCULO!$AA$15:$AA$59,0,N$13))),2),0)</f>
        <v>0</v>
      </c>
      <c r="O39" s="265" t="n">
        <f aca="true" t="array" ref="O39:O39">IF(AUTOEVENTO="Manual",ROUND(SUMPRODUCT((CÁLCULO!$M$15:$M$59=EVENTOS!$C39)*(OFFSET(CÁLCULO!$AA$15:$AA$59,0,O$13))),2),0)</f>
        <v>0</v>
      </c>
      <c r="P39" s="265" t="n">
        <f aca="true" t="array" ref="P39:P39">IF(AUTOEVENTO="Manual",ROUND(SUMPRODUCT((CÁLCULO!$M$15:$M$59=EVENTOS!$C39)*(OFFSET(CÁLCULO!$AA$15:$AA$59,0,P$13))),2),0)</f>
        <v>0</v>
      </c>
      <c r="Q39" s="265" t="n">
        <f aca="true" t="array" ref="Q39:Q39">IF(AUTOEVENTO="Manual",ROUND(SUMPRODUCT((CÁLCULO!$M$15:$M$59=EVENTOS!$C39)*(OFFSET(CÁLCULO!$AA$15:$AA$59,0,Q$13))),2),0)</f>
        <v>0</v>
      </c>
      <c r="R39" s="265" t="n">
        <f aca="true" t="array" ref="R39:R39">IF(AUTOEVENTO="Manual",ROUND(SUMPRODUCT((CÁLCULO!$M$15:$M$59=EVENTOS!$C39)*(OFFSET(CÁLCULO!$AA$15:$AA$59,0,R$13))),2),0)</f>
        <v>0</v>
      </c>
      <c r="S39" s="265" t="n">
        <f aca="true" t="array" ref="S39:S39">IF(AUTOEVENTO="Manual",ROUND(SUMPRODUCT((CÁLCULO!$M$15:$M$59=EVENTOS!$C39)*(OFFSET(CÁLCULO!$AA$15:$AA$59,0,S$13))),2),0)</f>
        <v>0</v>
      </c>
      <c r="T39" s="265" t="n">
        <f aca="true" t="array" ref="T39:T39">IF(AUTOEVENTO="Manual",ROUND(SUMPRODUCT((CÁLCULO!$M$15:$M$59=EVENTOS!$C39)*(OFFSET(CÁLCULO!$AA$15:$AA$59,0,T$13))),2),0)</f>
        <v>0</v>
      </c>
      <c r="U39" s="265" t="n">
        <f aca="true" t="array" ref="U39:U39">IF(AUTOEVENTO="Manual",ROUND(SUMPRODUCT((CÁLCULO!$M$15:$M$59=EVENTOS!$C39)*(OFFSET(CÁLCULO!$AA$15:$AA$59,0,U$13))),2),0)</f>
        <v>0</v>
      </c>
      <c r="V39" s="265" t="n">
        <f aca="true" t="array" ref="V39:V39">IF(AUTOEVENTO="Manual",ROUND(SUMPRODUCT((CÁLCULO!$M$15:$M$59=EVENTOS!$C39)*(OFFSET(CÁLCULO!$AA$15:$AA$59,0,V$13))),2),0)</f>
        <v>0</v>
      </c>
      <c r="W39" s="265" t="n">
        <f aca="true" t="array" ref="W39:W39">IF(AUTOEVENTO="Manual",ROUND(SUMPRODUCT((CÁLCULO!$M$15:$M$59=EVENTOS!$C39)*(OFFSET(CÁLCULO!$AA$15:$AA$59,0,W$13))),2),0)</f>
        <v>0</v>
      </c>
      <c r="X39" s="265" t="n">
        <f aca="true" t="array" ref="X39:X39">IF(AUTOEVENTO="Manual",ROUND(SUMPRODUCT((CÁLCULO!$M$15:$M$59=EVENTOS!$C39)*(OFFSET(CÁLCULO!$AA$15:$AA$59,0,X$13))),2),0)</f>
        <v>0</v>
      </c>
      <c r="Y39" s="265" t="n">
        <f aca="true" t="array" ref="Y39:Y39">IF(AUTOEVENTO="Manual",ROUND(SUMPRODUCT((CÁLCULO!$M$15:$M$59=EVENTOS!$C39)*(OFFSET(CÁLCULO!$AA$15:$AA$59,0,Y$13))),2),0)</f>
        <v>0</v>
      </c>
    </row>
    <row r="40" customFormat="false" ht="12.75" hidden="false" customHeight="false" outlineLevel="0" collapsed="false">
      <c r="A40" s="178" t="str">
        <f aca="false">IF(D40="","","F")</f>
        <v/>
      </c>
      <c r="B40" s="0" t="str">
        <f aca="false">IF(OR(C40=" ",D40=""),"",CONCATENATE(C40,". ",D40))</f>
        <v/>
      </c>
      <c r="C40" s="263" t="str">
        <f aca="true" t="array" ref="C40:C40">IF(OR(ROW(C40)=ROW(EVENTOS.firstrow)+1,AND(OFFSET(C40,-1,0)&lt;&gt;" ",OFFSET(C40,-1,1)&lt;&gt;"")),OFFSET(C40,-1,0)+1," ")</f>
        <v> </v>
      </c>
      <c r="D40" s="264"/>
      <c r="E40" s="265" t="n">
        <f aca="true" t="array" ref="E40:E40">IF(AUTOEVENTO="Manual",ROUND(SUMPRODUCT((CÁLCULO!$M$15:$M$59=EVENTOS!$C40)*(OFFSET(CÁLCULO!$AA$15:$AA$59,0,E$13))),2),0)</f>
        <v>0</v>
      </c>
      <c r="F40" s="266" t="n">
        <f aca="true">IF(AUTOEVENTO="Manual",ROUND(SUMPRODUCT((CÁLCULO!$M$15:$M$59=EVENTOS!$C40)*(OFFSET(CÁLCULO!$AA$15,0,1):OFFSET(CÁLCULO!$AL$59,0,-1))),2),0)</f>
        <v>0</v>
      </c>
      <c r="G40" s="267" t="str">
        <f aca="false">IF(AND(D40=0,F40&gt;0),"NOME",
 IF(AND(D40&lt;&gt;0,$F$14&gt;0,F40=0),"VALOR",
 IF(AND(Import.TipoArredondamento="TransfereGOV",$A40="F",LEN(D40)&gt;100),"Nome &gt;100","")))</f>
        <v/>
      </c>
      <c r="H40" s="265" t="n">
        <f aca="true" t="array" ref="H40:H40">IF(AUTOEVENTO="Manual",ROUND(SUMPRODUCT((CÁLCULO!$M$15:$M$59=EVENTOS!$C40)*(OFFSET(CÁLCULO!$AA$15:$AA$59,0,H$13))),2),0)</f>
        <v>0</v>
      </c>
      <c r="I40" s="265" t="n">
        <f aca="true" t="array" ref="I40:I40">IF(AUTOEVENTO="Manual",ROUND(SUMPRODUCT((CÁLCULO!$M$15:$M$59=EVENTOS!$C40)*(OFFSET(CÁLCULO!$AA$15:$AA$59,0,I$13))),2),0)</f>
        <v>0</v>
      </c>
      <c r="J40" s="265" t="n">
        <f aca="true" t="array" ref="J40:J40">IF(AUTOEVENTO="Manual",ROUND(SUMPRODUCT((CÁLCULO!$M$15:$M$59=EVENTOS!$C40)*(OFFSET(CÁLCULO!$AA$15:$AA$59,0,J$13))),2),0)</f>
        <v>0</v>
      </c>
      <c r="K40" s="265" t="n">
        <f aca="true" t="array" ref="K40:K40">IF(AUTOEVENTO="Manual",ROUND(SUMPRODUCT((CÁLCULO!$M$15:$M$59=EVENTOS!$C40)*(OFFSET(CÁLCULO!$AA$15:$AA$59,0,K$13))),2),0)</f>
        <v>0</v>
      </c>
      <c r="L40" s="265" t="n">
        <f aca="true" t="array" ref="L40:L40">IF(AUTOEVENTO="Manual",ROUND(SUMPRODUCT((CÁLCULO!$M$15:$M$59=EVENTOS!$C40)*(OFFSET(CÁLCULO!$AA$15:$AA$59,0,L$13))),2),0)</f>
        <v>0</v>
      </c>
      <c r="M40" s="265" t="n">
        <f aca="true" t="array" ref="M40:M40">IF(AUTOEVENTO="Manual",ROUND(SUMPRODUCT((CÁLCULO!$M$15:$M$59=EVENTOS!$C40)*(OFFSET(CÁLCULO!$AA$15:$AA$59,0,M$13))),2),0)</f>
        <v>0</v>
      </c>
      <c r="N40" s="265" t="n">
        <f aca="true" t="array" ref="N40:N40">IF(AUTOEVENTO="Manual",ROUND(SUMPRODUCT((CÁLCULO!$M$15:$M$59=EVENTOS!$C40)*(OFFSET(CÁLCULO!$AA$15:$AA$59,0,N$13))),2),0)</f>
        <v>0</v>
      </c>
      <c r="O40" s="265" t="n">
        <f aca="true" t="array" ref="O40:O40">IF(AUTOEVENTO="Manual",ROUND(SUMPRODUCT((CÁLCULO!$M$15:$M$59=EVENTOS!$C40)*(OFFSET(CÁLCULO!$AA$15:$AA$59,0,O$13))),2),0)</f>
        <v>0</v>
      </c>
      <c r="P40" s="265" t="n">
        <f aca="true" t="array" ref="P40:P40">IF(AUTOEVENTO="Manual",ROUND(SUMPRODUCT((CÁLCULO!$M$15:$M$59=EVENTOS!$C40)*(OFFSET(CÁLCULO!$AA$15:$AA$59,0,P$13))),2),0)</f>
        <v>0</v>
      </c>
      <c r="Q40" s="265" t="n">
        <f aca="true" t="array" ref="Q40:Q40">IF(AUTOEVENTO="Manual",ROUND(SUMPRODUCT((CÁLCULO!$M$15:$M$59=EVENTOS!$C40)*(OFFSET(CÁLCULO!$AA$15:$AA$59,0,Q$13))),2),0)</f>
        <v>0</v>
      </c>
      <c r="R40" s="265" t="n">
        <f aca="true" t="array" ref="R40:R40">IF(AUTOEVENTO="Manual",ROUND(SUMPRODUCT((CÁLCULO!$M$15:$M$59=EVENTOS!$C40)*(OFFSET(CÁLCULO!$AA$15:$AA$59,0,R$13))),2),0)</f>
        <v>0</v>
      </c>
      <c r="S40" s="265" t="n">
        <f aca="true" t="array" ref="S40:S40">IF(AUTOEVENTO="Manual",ROUND(SUMPRODUCT((CÁLCULO!$M$15:$M$59=EVENTOS!$C40)*(OFFSET(CÁLCULO!$AA$15:$AA$59,0,S$13))),2),0)</f>
        <v>0</v>
      </c>
      <c r="T40" s="265" t="n">
        <f aca="true" t="array" ref="T40:T40">IF(AUTOEVENTO="Manual",ROUND(SUMPRODUCT((CÁLCULO!$M$15:$M$59=EVENTOS!$C40)*(OFFSET(CÁLCULO!$AA$15:$AA$59,0,T$13))),2),0)</f>
        <v>0</v>
      </c>
      <c r="U40" s="265" t="n">
        <f aca="true" t="array" ref="U40:U40">IF(AUTOEVENTO="Manual",ROUND(SUMPRODUCT((CÁLCULO!$M$15:$M$59=EVENTOS!$C40)*(OFFSET(CÁLCULO!$AA$15:$AA$59,0,U$13))),2),0)</f>
        <v>0</v>
      </c>
      <c r="V40" s="265" t="n">
        <f aca="true" t="array" ref="V40:V40">IF(AUTOEVENTO="Manual",ROUND(SUMPRODUCT((CÁLCULO!$M$15:$M$59=EVENTOS!$C40)*(OFFSET(CÁLCULO!$AA$15:$AA$59,0,V$13))),2),0)</f>
        <v>0</v>
      </c>
      <c r="W40" s="265" t="n">
        <f aca="true" t="array" ref="W40:W40">IF(AUTOEVENTO="Manual",ROUND(SUMPRODUCT((CÁLCULO!$M$15:$M$59=EVENTOS!$C40)*(OFFSET(CÁLCULO!$AA$15:$AA$59,0,W$13))),2),0)</f>
        <v>0</v>
      </c>
      <c r="X40" s="265" t="n">
        <f aca="true" t="array" ref="X40:X40">IF(AUTOEVENTO="Manual",ROUND(SUMPRODUCT((CÁLCULO!$M$15:$M$59=EVENTOS!$C40)*(OFFSET(CÁLCULO!$AA$15:$AA$59,0,X$13))),2),0)</f>
        <v>0</v>
      </c>
      <c r="Y40" s="265" t="n">
        <f aca="true" t="array" ref="Y40:Y40">IF(AUTOEVENTO="Manual",ROUND(SUMPRODUCT((CÁLCULO!$M$15:$M$59=EVENTOS!$C40)*(OFFSET(CÁLCULO!$AA$15:$AA$59,0,Y$13))),2),0)</f>
        <v>0</v>
      </c>
    </row>
    <row r="41" customFormat="false" ht="12.75" hidden="false" customHeight="false" outlineLevel="0" collapsed="false">
      <c r="A41" s="178" t="str">
        <f aca="false">IF(D41="","","F")</f>
        <v/>
      </c>
      <c r="B41" s="0" t="str">
        <f aca="false">IF(OR(C41=" ",D41=""),"",CONCATENATE(C41,". ",D41))</f>
        <v/>
      </c>
      <c r="C41" s="263" t="str">
        <f aca="true" t="array" ref="C41:C41">IF(OR(ROW(C41)=ROW(EVENTOS.firstrow)+1,AND(OFFSET(C41,-1,0)&lt;&gt;" ",OFFSET(C41,-1,1)&lt;&gt;"")),OFFSET(C41,-1,0)+1," ")</f>
        <v> </v>
      </c>
      <c r="D41" s="264"/>
      <c r="E41" s="265" t="n">
        <f aca="true" t="array" ref="E41:E41">IF(AUTOEVENTO="Manual",ROUND(SUMPRODUCT((CÁLCULO!$M$15:$M$59=EVENTOS!$C41)*(OFFSET(CÁLCULO!$AA$15:$AA$59,0,E$13))),2),0)</f>
        <v>0</v>
      </c>
      <c r="F41" s="266" t="n">
        <f aca="true">IF(AUTOEVENTO="Manual",ROUND(SUMPRODUCT((CÁLCULO!$M$15:$M$59=EVENTOS!$C41)*(OFFSET(CÁLCULO!$AA$15,0,1):OFFSET(CÁLCULO!$AL$59,0,-1))),2),0)</f>
        <v>0</v>
      </c>
      <c r="G41" s="267" t="str">
        <f aca="false">IF(AND(D41=0,F41&gt;0),"NOME",
 IF(AND(D41&lt;&gt;0,$F$14&gt;0,F41=0),"VALOR",
 IF(AND(Import.TipoArredondamento="TransfereGOV",$A41="F",LEN(D41)&gt;100),"Nome &gt;100","")))</f>
        <v/>
      </c>
      <c r="H41" s="265" t="n">
        <f aca="true" t="array" ref="H41:H41">IF(AUTOEVENTO="Manual",ROUND(SUMPRODUCT((CÁLCULO!$M$15:$M$59=EVENTOS!$C41)*(OFFSET(CÁLCULO!$AA$15:$AA$59,0,H$13))),2),0)</f>
        <v>0</v>
      </c>
      <c r="I41" s="265" t="n">
        <f aca="true" t="array" ref="I41:I41">IF(AUTOEVENTO="Manual",ROUND(SUMPRODUCT((CÁLCULO!$M$15:$M$59=EVENTOS!$C41)*(OFFSET(CÁLCULO!$AA$15:$AA$59,0,I$13))),2),0)</f>
        <v>0</v>
      </c>
      <c r="J41" s="265" t="n">
        <f aca="true" t="array" ref="J41:J41">IF(AUTOEVENTO="Manual",ROUND(SUMPRODUCT((CÁLCULO!$M$15:$M$59=EVENTOS!$C41)*(OFFSET(CÁLCULO!$AA$15:$AA$59,0,J$13))),2),0)</f>
        <v>0</v>
      </c>
      <c r="K41" s="265" t="n">
        <f aca="true" t="array" ref="K41:K41">IF(AUTOEVENTO="Manual",ROUND(SUMPRODUCT((CÁLCULO!$M$15:$M$59=EVENTOS!$C41)*(OFFSET(CÁLCULO!$AA$15:$AA$59,0,K$13))),2),0)</f>
        <v>0</v>
      </c>
      <c r="L41" s="265" t="n">
        <f aca="true" t="array" ref="L41:L41">IF(AUTOEVENTO="Manual",ROUND(SUMPRODUCT((CÁLCULO!$M$15:$M$59=EVENTOS!$C41)*(OFFSET(CÁLCULO!$AA$15:$AA$59,0,L$13))),2),0)</f>
        <v>0</v>
      </c>
      <c r="M41" s="265" t="n">
        <f aca="true" t="array" ref="M41:M41">IF(AUTOEVENTO="Manual",ROUND(SUMPRODUCT((CÁLCULO!$M$15:$M$59=EVENTOS!$C41)*(OFFSET(CÁLCULO!$AA$15:$AA$59,0,M$13))),2),0)</f>
        <v>0</v>
      </c>
      <c r="N41" s="265" t="n">
        <f aca="true" t="array" ref="N41:N41">IF(AUTOEVENTO="Manual",ROUND(SUMPRODUCT((CÁLCULO!$M$15:$M$59=EVENTOS!$C41)*(OFFSET(CÁLCULO!$AA$15:$AA$59,0,N$13))),2),0)</f>
        <v>0</v>
      </c>
      <c r="O41" s="265" t="n">
        <f aca="true" t="array" ref="O41:O41">IF(AUTOEVENTO="Manual",ROUND(SUMPRODUCT((CÁLCULO!$M$15:$M$59=EVENTOS!$C41)*(OFFSET(CÁLCULO!$AA$15:$AA$59,0,O$13))),2),0)</f>
        <v>0</v>
      </c>
      <c r="P41" s="265" t="n">
        <f aca="true" t="array" ref="P41:P41">IF(AUTOEVENTO="Manual",ROUND(SUMPRODUCT((CÁLCULO!$M$15:$M$59=EVENTOS!$C41)*(OFFSET(CÁLCULO!$AA$15:$AA$59,0,P$13))),2),0)</f>
        <v>0</v>
      </c>
      <c r="Q41" s="265" t="n">
        <f aca="true" t="array" ref="Q41:Q41">IF(AUTOEVENTO="Manual",ROUND(SUMPRODUCT((CÁLCULO!$M$15:$M$59=EVENTOS!$C41)*(OFFSET(CÁLCULO!$AA$15:$AA$59,0,Q$13))),2),0)</f>
        <v>0</v>
      </c>
      <c r="R41" s="265" t="n">
        <f aca="true" t="array" ref="R41:R41">IF(AUTOEVENTO="Manual",ROUND(SUMPRODUCT((CÁLCULO!$M$15:$M$59=EVENTOS!$C41)*(OFFSET(CÁLCULO!$AA$15:$AA$59,0,R$13))),2),0)</f>
        <v>0</v>
      </c>
      <c r="S41" s="265" t="n">
        <f aca="true" t="array" ref="S41:S41">IF(AUTOEVENTO="Manual",ROUND(SUMPRODUCT((CÁLCULO!$M$15:$M$59=EVENTOS!$C41)*(OFFSET(CÁLCULO!$AA$15:$AA$59,0,S$13))),2),0)</f>
        <v>0</v>
      </c>
      <c r="T41" s="265" t="n">
        <f aca="true" t="array" ref="T41:T41">IF(AUTOEVENTO="Manual",ROUND(SUMPRODUCT((CÁLCULO!$M$15:$M$59=EVENTOS!$C41)*(OFFSET(CÁLCULO!$AA$15:$AA$59,0,T$13))),2),0)</f>
        <v>0</v>
      </c>
      <c r="U41" s="265" t="n">
        <f aca="true" t="array" ref="U41:U41">IF(AUTOEVENTO="Manual",ROUND(SUMPRODUCT((CÁLCULO!$M$15:$M$59=EVENTOS!$C41)*(OFFSET(CÁLCULO!$AA$15:$AA$59,0,U$13))),2),0)</f>
        <v>0</v>
      </c>
      <c r="V41" s="265" t="n">
        <f aca="true" t="array" ref="V41:V41">IF(AUTOEVENTO="Manual",ROUND(SUMPRODUCT((CÁLCULO!$M$15:$M$59=EVENTOS!$C41)*(OFFSET(CÁLCULO!$AA$15:$AA$59,0,V$13))),2),0)</f>
        <v>0</v>
      </c>
      <c r="W41" s="265" t="n">
        <f aca="true" t="array" ref="W41:W41">IF(AUTOEVENTO="Manual",ROUND(SUMPRODUCT((CÁLCULO!$M$15:$M$59=EVENTOS!$C41)*(OFFSET(CÁLCULO!$AA$15:$AA$59,0,W$13))),2),0)</f>
        <v>0</v>
      </c>
      <c r="X41" s="265" t="n">
        <f aca="true" t="array" ref="X41:X41">IF(AUTOEVENTO="Manual",ROUND(SUMPRODUCT((CÁLCULO!$M$15:$M$59=EVENTOS!$C41)*(OFFSET(CÁLCULO!$AA$15:$AA$59,0,X$13))),2),0)</f>
        <v>0</v>
      </c>
      <c r="Y41" s="265" t="n">
        <f aca="true" t="array" ref="Y41:Y41">IF(AUTOEVENTO="Manual",ROUND(SUMPRODUCT((CÁLCULO!$M$15:$M$59=EVENTOS!$C41)*(OFFSET(CÁLCULO!$AA$15:$AA$59,0,Y$13))),2),0)</f>
        <v>0</v>
      </c>
    </row>
    <row r="42" customFormat="false" ht="12.75" hidden="false" customHeight="false" outlineLevel="0" collapsed="false">
      <c r="A42" s="178" t="str">
        <f aca="false">IF(D42="","","F")</f>
        <v/>
      </c>
      <c r="B42" s="0" t="str">
        <f aca="false">IF(OR(C42=" ",D42=""),"",CONCATENATE(C42,". ",D42))</f>
        <v/>
      </c>
      <c r="C42" s="263" t="str">
        <f aca="true" t="array" ref="C42:C42">IF(OR(ROW(C42)=ROW(EVENTOS.firstrow)+1,AND(OFFSET(C42,-1,0)&lt;&gt;" ",OFFSET(C42,-1,1)&lt;&gt;"")),OFFSET(C42,-1,0)+1," ")</f>
        <v> </v>
      </c>
      <c r="D42" s="264"/>
      <c r="E42" s="265" t="n">
        <f aca="true" t="array" ref="E42:E42">IF(AUTOEVENTO="Manual",ROUND(SUMPRODUCT((CÁLCULO!$M$15:$M$59=EVENTOS!$C42)*(OFFSET(CÁLCULO!$AA$15:$AA$59,0,E$13))),2),0)</f>
        <v>0</v>
      </c>
      <c r="F42" s="266" t="n">
        <f aca="true">IF(AUTOEVENTO="Manual",ROUND(SUMPRODUCT((CÁLCULO!$M$15:$M$59=EVENTOS!$C42)*(OFFSET(CÁLCULO!$AA$15,0,1):OFFSET(CÁLCULO!$AL$59,0,-1))),2),0)</f>
        <v>0</v>
      </c>
      <c r="G42" s="267" t="str">
        <f aca="false">IF(AND(D42=0,F42&gt;0),"NOME",
 IF(AND(D42&lt;&gt;0,$F$14&gt;0,F42=0),"VALOR",
 IF(AND(Import.TipoArredondamento="TransfereGOV",$A42="F",LEN(D42)&gt;100),"Nome &gt;100","")))</f>
        <v/>
      </c>
      <c r="H42" s="265" t="n">
        <f aca="true" t="array" ref="H42:H42">IF(AUTOEVENTO="Manual",ROUND(SUMPRODUCT((CÁLCULO!$M$15:$M$59=EVENTOS!$C42)*(OFFSET(CÁLCULO!$AA$15:$AA$59,0,H$13))),2),0)</f>
        <v>0</v>
      </c>
      <c r="I42" s="265" t="n">
        <f aca="true" t="array" ref="I42:I42">IF(AUTOEVENTO="Manual",ROUND(SUMPRODUCT((CÁLCULO!$M$15:$M$59=EVENTOS!$C42)*(OFFSET(CÁLCULO!$AA$15:$AA$59,0,I$13))),2),0)</f>
        <v>0</v>
      </c>
      <c r="J42" s="265" t="n">
        <f aca="true" t="array" ref="J42:J42">IF(AUTOEVENTO="Manual",ROUND(SUMPRODUCT((CÁLCULO!$M$15:$M$59=EVENTOS!$C42)*(OFFSET(CÁLCULO!$AA$15:$AA$59,0,J$13))),2),0)</f>
        <v>0</v>
      </c>
      <c r="K42" s="265" t="n">
        <f aca="true" t="array" ref="K42:K42">IF(AUTOEVENTO="Manual",ROUND(SUMPRODUCT((CÁLCULO!$M$15:$M$59=EVENTOS!$C42)*(OFFSET(CÁLCULO!$AA$15:$AA$59,0,K$13))),2),0)</f>
        <v>0</v>
      </c>
      <c r="L42" s="265" t="n">
        <f aca="true" t="array" ref="L42:L42">IF(AUTOEVENTO="Manual",ROUND(SUMPRODUCT((CÁLCULO!$M$15:$M$59=EVENTOS!$C42)*(OFFSET(CÁLCULO!$AA$15:$AA$59,0,L$13))),2),0)</f>
        <v>0</v>
      </c>
      <c r="M42" s="265" t="n">
        <f aca="true" t="array" ref="M42:M42">IF(AUTOEVENTO="Manual",ROUND(SUMPRODUCT((CÁLCULO!$M$15:$M$59=EVENTOS!$C42)*(OFFSET(CÁLCULO!$AA$15:$AA$59,0,M$13))),2),0)</f>
        <v>0</v>
      </c>
      <c r="N42" s="265" t="n">
        <f aca="true" t="array" ref="N42:N42">IF(AUTOEVENTO="Manual",ROUND(SUMPRODUCT((CÁLCULO!$M$15:$M$59=EVENTOS!$C42)*(OFFSET(CÁLCULO!$AA$15:$AA$59,0,N$13))),2),0)</f>
        <v>0</v>
      </c>
      <c r="O42" s="265" t="n">
        <f aca="true" t="array" ref="O42:O42">IF(AUTOEVENTO="Manual",ROUND(SUMPRODUCT((CÁLCULO!$M$15:$M$59=EVENTOS!$C42)*(OFFSET(CÁLCULO!$AA$15:$AA$59,0,O$13))),2),0)</f>
        <v>0</v>
      </c>
      <c r="P42" s="265" t="n">
        <f aca="true" t="array" ref="P42:P42">IF(AUTOEVENTO="Manual",ROUND(SUMPRODUCT((CÁLCULO!$M$15:$M$59=EVENTOS!$C42)*(OFFSET(CÁLCULO!$AA$15:$AA$59,0,P$13))),2),0)</f>
        <v>0</v>
      </c>
      <c r="Q42" s="265" t="n">
        <f aca="true" t="array" ref="Q42:Q42">IF(AUTOEVENTO="Manual",ROUND(SUMPRODUCT((CÁLCULO!$M$15:$M$59=EVENTOS!$C42)*(OFFSET(CÁLCULO!$AA$15:$AA$59,0,Q$13))),2),0)</f>
        <v>0</v>
      </c>
      <c r="R42" s="265" t="n">
        <f aca="true" t="array" ref="R42:R42">IF(AUTOEVENTO="Manual",ROUND(SUMPRODUCT((CÁLCULO!$M$15:$M$59=EVENTOS!$C42)*(OFFSET(CÁLCULO!$AA$15:$AA$59,0,R$13))),2),0)</f>
        <v>0</v>
      </c>
      <c r="S42" s="265" t="n">
        <f aca="true" t="array" ref="S42:S42">IF(AUTOEVENTO="Manual",ROUND(SUMPRODUCT((CÁLCULO!$M$15:$M$59=EVENTOS!$C42)*(OFFSET(CÁLCULO!$AA$15:$AA$59,0,S$13))),2),0)</f>
        <v>0</v>
      </c>
      <c r="T42" s="265" t="n">
        <f aca="true" t="array" ref="T42:T42">IF(AUTOEVENTO="Manual",ROUND(SUMPRODUCT((CÁLCULO!$M$15:$M$59=EVENTOS!$C42)*(OFFSET(CÁLCULO!$AA$15:$AA$59,0,T$13))),2),0)</f>
        <v>0</v>
      </c>
      <c r="U42" s="265" t="n">
        <f aca="true" t="array" ref="U42:U42">IF(AUTOEVENTO="Manual",ROUND(SUMPRODUCT((CÁLCULO!$M$15:$M$59=EVENTOS!$C42)*(OFFSET(CÁLCULO!$AA$15:$AA$59,0,U$13))),2),0)</f>
        <v>0</v>
      </c>
      <c r="V42" s="265" t="n">
        <f aca="true" t="array" ref="V42:V42">IF(AUTOEVENTO="Manual",ROUND(SUMPRODUCT((CÁLCULO!$M$15:$M$59=EVENTOS!$C42)*(OFFSET(CÁLCULO!$AA$15:$AA$59,0,V$13))),2),0)</f>
        <v>0</v>
      </c>
      <c r="W42" s="265" t="n">
        <f aca="true" t="array" ref="W42:W42">IF(AUTOEVENTO="Manual",ROUND(SUMPRODUCT((CÁLCULO!$M$15:$M$59=EVENTOS!$C42)*(OFFSET(CÁLCULO!$AA$15:$AA$59,0,W$13))),2),0)</f>
        <v>0</v>
      </c>
      <c r="X42" s="265" t="n">
        <f aca="true" t="array" ref="X42:X42">IF(AUTOEVENTO="Manual",ROUND(SUMPRODUCT((CÁLCULO!$M$15:$M$59=EVENTOS!$C42)*(OFFSET(CÁLCULO!$AA$15:$AA$59,0,X$13))),2),0)</f>
        <v>0</v>
      </c>
      <c r="Y42" s="265" t="n">
        <f aca="true" t="array" ref="Y42:Y42">IF(AUTOEVENTO="Manual",ROUND(SUMPRODUCT((CÁLCULO!$M$15:$M$59=EVENTOS!$C42)*(OFFSET(CÁLCULO!$AA$15:$AA$59,0,Y$13))),2),0)</f>
        <v>0</v>
      </c>
    </row>
    <row r="43" customFormat="false" ht="12.75" hidden="false" customHeight="false" outlineLevel="0" collapsed="false">
      <c r="A43" s="178" t="str">
        <f aca="false">IF(D43="","","F")</f>
        <v/>
      </c>
      <c r="B43" s="0" t="str">
        <f aca="false">IF(OR(C43=" ",D43=""),"",CONCATENATE(C43,". ",D43))</f>
        <v/>
      </c>
      <c r="C43" s="263" t="str">
        <f aca="true" t="array" ref="C43:C43">IF(OR(ROW(C43)=ROW(EVENTOS.firstrow)+1,AND(OFFSET(C43,-1,0)&lt;&gt;" ",OFFSET(C43,-1,1)&lt;&gt;"")),OFFSET(C43,-1,0)+1," ")</f>
        <v> </v>
      </c>
      <c r="D43" s="264"/>
      <c r="E43" s="265" t="n">
        <f aca="true" t="array" ref="E43:E43">IF(AUTOEVENTO="Manual",ROUND(SUMPRODUCT((CÁLCULO!$M$15:$M$59=EVENTOS!$C43)*(OFFSET(CÁLCULO!$AA$15:$AA$59,0,E$13))),2),0)</f>
        <v>0</v>
      </c>
      <c r="F43" s="266" t="n">
        <f aca="true">IF(AUTOEVENTO="Manual",ROUND(SUMPRODUCT((CÁLCULO!$M$15:$M$59=EVENTOS!$C43)*(OFFSET(CÁLCULO!$AA$15,0,1):OFFSET(CÁLCULO!$AL$59,0,-1))),2),0)</f>
        <v>0</v>
      </c>
      <c r="G43" s="267" t="str">
        <f aca="false">IF(AND(D43=0,F43&gt;0),"NOME",
 IF(AND(D43&lt;&gt;0,$F$14&gt;0,F43=0),"VALOR",
 IF(AND(Import.TipoArredondamento="TransfereGOV",$A43="F",LEN(D43)&gt;100),"Nome &gt;100","")))</f>
        <v/>
      </c>
      <c r="H43" s="265" t="n">
        <f aca="true" t="array" ref="H43:H43">IF(AUTOEVENTO="Manual",ROUND(SUMPRODUCT((CÁLCULO!$M$15:$M$59=EVENTOS!$C43)*(OFFSET(CÁLCULO!$AA$15:$AA$59,0,H$13))),2),0)</f>
        <v>0</v>
      </c>
      <c r="I43" s="265" t="n">
        <f aca="true" t="array" ref="I43:I43">IF(AUTOEVENTO="Manual",ROUND(SUMPRODUCT((CÁLCULO!$M$15:$M$59=EVENTOS!$C43)*(OFFSET(CÁLCULO!$AA$15:$AA$59,0,I$13))),2),0)</f>
        <v>0</v>
      </c>
      <c r="J43" s="265" t="n">
        <f aca="true" t="array" ref="J43:J43">IF(AUTOEVENTO="Manual",ROUND(SUMPRODUCT((CÁLCULO!$M$15:$M$59=EVENTOS!$C43)*(OFFSET(CÁLCULO!$AA$15:$AA$59,0,J$13))),2),0)</f>
        <v>0</v>
      </c>
      <c r="K43" s="265" t="n">
        <f aca="true" t="array" ref="K43:K43">IF(AUTOEVENTO="Manual",ROUND(SUMPRODUCT((CÁLCULO!$M$15:$M$59=EVENTOS!$C43)*(OFFSET(CÁLCULO!$AA$15:$AA$59,0,K$13))),2),0)</f>
        <v>0</v>
      </c>
      <c r="L43" s="265" t="n">
        <f aca="true" t="array" ref="L43:L43">IF(AUTOEVENTO="Manual",ROUND(SUMPRODUCT((CÁLCULO!$M$15:$M$59=EVENTOS!$C43)*(OFFSET(CÁLCULO!$AA$15:$AA$59,0,L$13))),2),0)</f>
        <v>0</v>
      </c>
      <c r="M43" s="265" t="n">
        <f aca="true" t="array" ref="M43:M43">IF(AUTOEVENTO="Manual",ROUND(SUMPRODUCT((CÁLCULO!$M$15:$M$59=EVENTOS!$C43)*(OFFSET(CÁLCULO!$AA$15:$AA$59,0,M$13))),2),0)</f>
        <v>0</v>
      </c>
      <c r="N43" s="265" t="n">
        <f aca="true" t="array" ref="N43:N43">IF(AUTOEVENTO="Manual",ROUND(SUMPRODUCT((CÁLCULO!$M$15:$M$59=EVENTOS!$C43)*(OFFSET(CÁLCULO!$AA$15:$AA$59,0,N$13))),2),0)</f>
        <v>0</v>
      </c>
      <c r="O43" s="265" t="n">
        <f aca="true" t="array" ref="O43:O43">IF(AUTOEVENTO="Manual",ROUND(SUMPRODUCT((CÁLCULO!$M$15:$M$59=EVENTOS!$C43)*(OFFSET(CÁLCULO!$AA$15:$AA$59,0,O$13))),2),0)</f>
        <v>0</v>
      </c>
      <c r="P43" s="265" t="n">
        <f aca="true" t="array" ref="P43:P43">IF(AUTOEVENTO="Manual",ROUND(SUMPRODUCT((CÁLCULO!$M$15:$M$59=EVENTOS!$C43)*(OFFSET(CÁLCULO!$AA$15:$AA$59,0,P$13))),2),0)</f>
        <v>0</v>
      </c>
      <c r="Q43" s="265" t="n">
        <f aca="true" t="array" ref="Q43:Q43">IF(AUTOEVENTO="Manual",ROUND(SUMPRODUCT((CÁLCULO!$M$15:$M$59=EVENTOS!$C43)*(OFFSET(CÁLCULO!$AA$15:$AA$59,0,Q$13))),2),0)</f>
        <v>0</v>
      </c>
      <c r="R43" s="265" t="n">
        <f aca="true" t="array" ref="R43:R43">IF(AUTOEVENTO="Manual",ROUND(SUMPRODUCT((CÁLCULO!$M$15:$M$59=EVENTOS!$C43)*(OFFSET(CÁLCULO!$AA$15:$AA$59,0,R$13))),2),0)</f>
        <v>0</v>
      </c>
      <c r="S43" s="265" t="n">
        <f aca="true" t="array" ref="S43:S43">IF(AUTOEVENTO="Manual",ROUND(SUMPRODUCT((CÁLCULO!$M$15:$M$59=EVENTOS!$C43)*(OFFSET(CÁLCULO!$AA$15:$AA$59,0,S$13))),2),0)</f>
        <v>0</v>
      </c>
      <c r="T43" s="265" t="n">
        <f aca="true" t="array" ref="T43:T43">IF(AUTOEVENTO="Manual",ROUND(SUMPRODUCT((CÁLCULO!$M$15:$M$59=EVENTOS!$C43)*(OFFSET(CÁLCULO!$AA$15:$AA$59,0,T$13))),2),0)</f>
        <v>0</v>
      </c>
      <c r="U43" s="265" t="n">
        <f aca="true" t="array" ref="U43:U43">IF(AUTOEVENTO="Manual",ROUND(SUMPRODUCT((CÁLCULO!$M$15:$M$59=EVENTOS!$C43)*(OFFSET(CÁLCULO!$AA$15:$AA$59,0,U$13))),2),0)</f>
        <v>0</v>
      </c>
      <c r="V43" s="265" t="n">
        <f aca="true" t="array" ref="V43:V43">IF(AUTOEVENTO="Manual",ROUND(SUMPRODUCT((CÁLCULO!$M$15:$M$59=EVENTOS!$C43)*(OFFSET(CÁLCULO!$AA$15:$AA$59,0,V$13))),2),0)</f>
        <v>0</v>
      </c>
      <c r="W43" s="265" t="n">
        <f aca="true" t="array" ref="W43:W43">IF(AUTOEVENTO="Manual",ROUND(SUMPRODUCT((CÁLCULO!$M$15:$M$59=EVENTOS!$C43)*(OFFSET(CÁLCULO!$AA$15:$AA$59,0,W$13))),2),0)</f>
        <v>0</v>
      </c>
      <c r="X43" s="265" t="n">
        <f aca="true" t="array" ref="X43:X43">IF(AUTOEVENTO="Manual",ROUND(SUMPRODUCT((CÁLCULO!$M$15:$M$59=EVENTOS!$C43)*(OFFSET(CÁLCULO!$AA$15:$AA$59,0,X$13))),2),0)</f>
        <v>0</v>
      </c>
      <c r="Y43" s="265" t="n">
        <f aca="true" t="array" ref="Y43:Y43">IF(AUTOEVENTO="Manual",ROUND(SUMPRODUCT((CÁLCULO!$M$15:$M$59=EVENTOS!$C43)*(OFFSET(CÁLCULO!$AA$15:$AA$59,0,Y$13))),2),0)</f>
        <v>0</v>
      </c>
    </row>
    <row r="44" customFormat="false" ht="12.75" hidden="false" customHeight="false" outlineLevel="0" collapsed="false">
      <c r="A44" s="178" t="str">
        <f aca="false">IF(D44="","","F")</f>
        <v/>
      </c>
      <c r="B44" s="0" t="str">
        <f aca="false">IF(OR(C44=" ",D44=""),"",CONCATENATE(C44,". ",D44))</f>
        <v/>
      </c>
      <c r="C44" s="263" t="str">
        <f aca="true" t="array" ref="C44:C44">IF(OR(ROW(C44)=ROW(EVENTOS.firstrow)+1,AND(OFFSET(C44,-1,0)&lt;&gt;" ",OFFSET(C44,-1,1)&lt;&gt;"")),OFFSET(C44,-1,0)+1," ")</f>
        <v> </v>
      </c>
      <c r="D44" s="264"/>
      <c r="E44" s="265" t="n">
        <f aca="true" t="array" ref="E44:E44">IF(AUTOEVENTO="Manual",ROUND(SUMPRODUCT((CÁLCULO!$M$15:$M$59=EVENTOS!$C44)*(OFFSET(CÁLCULO!$AA$15:$AA$59,0,E$13))),2),0)</f>
        <v>0</v>
      </c>
      <c r="F44" s="266" t="n">
        <f aca="true">IF(AUTOEVENTO="Manual",ROUND(SUMPRODUCT((CÁLCULO!$M$15:$M$59=EVENTOS!$C44)*(OFFSET(CÁLCULO!$AA$15,0,1):OFFSET(CÁLCULO!$AL$59,0,-1))),2),0)</f>
        <v>0</v>
      </c>
      <c r="G44" s="267" t="str">
        <f aca="false">IF(AND(D44=0,F44&gt;0),"NOME",
 IF(AND(D44&lt;&gt;0,$F$14&gt;0,F44=0),"VALOR",
 IF(AND(Import.TipoArredondamento="TransfereGOV",$A44="F",LEN(D44)&gt;100),"Nome &gt;100","")))</f>
        <v/>
      </c>
      <c r="H44" s="265" t="n">
        <f aca="true" t="array" ref="H44:H44">IF(AUTOEVENTO="Manual",ROUND(SUMPRODUCT((CÁLCULO!$M$15:$M$59=EVENTOS!$C44)*(OFFSET(CÁLCULO!$AA$15:$AA$59,0,H$13))),2),0)</f>
        <v>0</v>
      </c>
      <c r="I44" s="265" t="n">
        <f aca="true" t="array" ref="I44:I44">IF(AUTOEVENTO="Manual",ROUND(SUMPRODUCT((CÁLCULO!$M$15:$M$59=EVENTOS!$C44)*(OFFSET(CÁLCULO!$AA$15:$AA$59,0,I$13))),2),0)</f>
        <v>0</v>
      </c>
      <c r="J44" s="265" t="n">
        <f aca="true" t="array" ref="J44:J44">IF(AUTOEVENTO="Manual",ROUND(SUMPRODUCT((CÁLCULO!$M$15:$M$59=EVENTOS!$C44)*(OFFSET(CÁLCULO!$AA$15:$AA$59,0,J$13))),2),0)</f>
        <v>0</v>
      </c>
      <c r="K44" s="265" t="n">
        <f aca="true" t="array" ref="K44:K44">IF(AUTOEVENTO="Manual",ROUND(SUMPRODUCT((CÁLCULO!$M$15:$M$59=EVENTOS!$C44)*(OFFSET(CÁLCULO!$AA$15:$AA$59,0,K$13))),2),0)</f>
        <v>0</v>
      </c>
      <c r="L44" s="265" t="n">
        <f aca="true" t="array" ref="L44:L44">IF(AUTOEVENTO="Manual",ROUND(SUMPRODUCT((CÁLCULO!$M$15:$M$59=EVENTOS!$C44)*(OFFSET(CÁLCULO!$AA$15:$AA$59,0,L$13))),2),0)</f>
        <v>0</v>
      </c>
      <c r="M44" s="265" t="n">
        <f aca="true" t="array" ref="M44:M44">IF(AUTOEVENTO="Manual",ROUND(SUMPRODUCT((CÁLCULO!$M$15:$M$59=EVENTOS!$C44)*(OFFSET(CÁLCULO!$AA$15:$AA$59,0,M$13))),2),0)</f>
        <v>0</v>
      </c>
      <c r="N44" s="265" t="n">
        <f aca="true" t="array" ref="N44:N44">IF(AUTOEVENTO="Manual",ROUND(SUMPRODUCT((CÁLCULO!$M$15:$M$59=EVENTOS!$C44)*(OFFSET(CÁLCULO!$AA$15:$AA$59,0,N$13))),2),0)</f>
        <v>0</v>
      </c>
      <c r="O44" s="265" t="n">
        <f aca="true" t="array" ref="O44:O44">IF(AUTOEVENTO="Manual",ROUND(SUMPRODUCT((CÁLCULO!$M$15:$M$59=EVENTOS!$C44)*(OFFSET(CÁLCULO!$AA$15:$AA$59,0,O$13))),2),0)</f>
        <v>0</v>
      </c>
      <c r="P44" s="265" t="n">
        <f aca="true" t="array" ref="P44:P44">IF(AUTOEVENTO="Manual",ROUND(SUMPRODUCT((CÁLCULO!$M$15:$M$59=EVENTOS!$C44)*(OFFSET(CÁLCULO!$AA$15:$AA$59,0,P$13))),2),0)</f>
        <v>0</v>
      </c>
      <c r="Q44" s="265" t="n">
        <f aca="true" t="array" ref="Q44:Q44">IF(AUTOEVENTO="Manual",ROUND(SUMPRODUCT((CÁLCULO!$M$15:$M$59=EVENTOS!$C44)*(OFFSET(CÁLCULO!$AA$15:$AA$59,0,Q$13))),2),0)</f>
        <v>0</v>
      </c>
      <c r="R44" s="265" t="n">
        <f aca="true" t="array" ref="R44:R44">IF(AUTOEVENTO="Manual",ROUND(SUMPRODUCT((CÁLCULO!$M$15:$M$59=EVENTOS!$C44)*(OFFSET(CÁLCULO!$AA$15:$AA$59,0,R$13))),2),0)</f>
        <v>0</v>
      </c>
      <c r="S44" s="265" t="n">
        <f aca="true" t="array" ref="S44:S44">IF(AUTOEVENTO="Manual",ROUND(SUMPRODUCT((CÁLCULO!$M$15:$M$59=EVENTOS!$C44)*(OFFSET(CÁLCULO!$AA$15:$AA$59,0,S$13))),2),0)</f>
        <v>0</v>
      </c>
      <c r="T44" s="265" t="n">
        <f aca="true" t="array" ref="T44:T44">IF(AUTOEVENTO="Manual",ROUND(SUMPRODUCT((CÁLCULO!$M$15:$M$59=EVENTOS!$C44)*(OFFSET(CÁLCULO!$AA$15:$AA$59,0,T$13))),2),0)</f>
        <v>0</v>
      </c>
      <c r="U44" s="265" t="n">
        <f aca="true" t="array" ref="U44:U44">IF(AUTOEVENTO="Manual",ROUND(SUMPRODUCT((CÁLCULO!$M$15:$M$59=EVENTOS!$C44)*(OFFSET(CÁLCULO!$AA$15:$AA$59,0,U$13))),2),0)</f>
        <v>0</v>
      </c>
      <c r="V44" s="265" t="n">
        <f aca="true" t="array" ref="V44:V44">IF(AUTOEVENTO="Manual",ROUND(SUMPRODUCT((CÁLCULO!$M$15:$M$59=EVENTOS!$C44)*(OFFSET(CÁLCULO!$AA$15:$AA$59,0,V$13))),2),0)</f>
        <v>0</v>
      </c>
      <c r="W44" s="265" t="n">
        <f aca="true" t="array" ref="W44:W44">IF(AUTOEVENTO="Manual",ROUND(SUMPRODUCT((CÁLCULO!$M$15:$M$59=EVENTOS!$C44)*(OFFSET(CÁLCULO!$AA$15:$AA$59,0,W$13))),2),0)</f>
        <v>0</v>
      </c>
      <c r="X44" s="265" t="n">
        <f aca="true" t="array" ref="X44:X44">IF(AUTOEVENTO="Manual",ROUND(SUMPRODUCT((CÁLCULO!$M$15:$M$59=EVENTOS!$C44)*(OFFSET(CÁLCULO!$AA$15:$AA$59,0,X$13))),2),0)</f>
        <v>0</v>
      </c>
      <c r="Y44" s="265" t="n">
        <f aca="true" t="array" ref="Y44:Y44">IF(AUTOEVENTO="Manual",ROUND(SUMPRODUCT((CÁLCULO!$M$15:$M$59=EVENTOS!$C44)*(OFFSET(CÁLCULO!$AA$15:$AA$59,0,Y$13))),2),0)</f>
        <v>0</v>
      </c>
    </row>
    <row r="45" customFormat="false" ht="12.75" hidden="false" customHeight="false" outlineLevel="0" collapsed="false">
      <c r="A45" s="178" t="str">
        <f aca="false">IF(D45="","","F")</f>
        <v/>
      </c>
      <c r="B45" s="0" t="str">
        <f aca="false">IF(OR(C45=" ",D45=""),"",CONCATENATE(C45,". ",D45))</f>
        <v/>
      </c>
      <c r="C45" s="263" t="str">
        <f aca="true" t="array" ref="C45:C45">IF(OR(ROW(C45)=ROW(EVENTOS.firstrow)+1,AND(OFFSET(C45,-1,0)&lt;&gt;" ",OFFSET(C45,-1,1)&lt;&gt;"")),OFFSET(C45,-1,0)+1," ")</f>
        <v> </v>
      </c>
      <c r="D45" s="264"/>
      <c r="E45" s="265" t="n">
        <f aca="true" t="array" ref="E45:E45">IF(AUTOEVENTO="Manual",ROUND(SUMPRODUCT((CÁLCULO!$M$15:$M$59=EVENTOS!$C45)*(OFFSET(CÁLCULO!$AA$15:$AA$59,0,E$13))),2),0)</f>
        <v>0</v>
      </c>
      <c r="F45" s="266" t="n">
        <f aca="true">IF(AUTOEVENTO="Manual",ROUND(SUMPRODUCT((CÁLCULO!$M$15:$M$59=EVENTOS!$C45)*(OFFSET(CÁLCULO!$AA$15,0,1):OFFSET(CÁLCULO!$AL$59,0,-1))),2),0)</f>
        <v>0</v>
      </c>
      <c r="G45" s="267" t="str">
        <f aca="false">IF(AND(D45=0,F45&gt;0),"NOME",
 IF(AND(D45&lt;&gt;0,$F$14&gt;0,F45=0),"VALOR",
 IF(AND(Import.TipoArredondamento="TransfereGOV",$A45="F",LEN(D45)&gt;100),"Nome &gt;100","")))</f>
        <v/>
      </c>
      <c r="H45" s="265" t="n">
        <f aca="true" t="array" ref="H45:H45">IF(AUTOEVENTO="Manual",ROUND(SUMPRODUCT((CÁLCULO!$M$15:$M$59=EVENTOS!$C45)*(OFFSET(CÁLCULO!$AA$15:$AA$59,0,H$13))),2),0)</f>
        <v>0</v>
      </c>
      <c r="I45" s="265" t="n">
        <f aca="true" t="array" ref="I45:I45">IF(AUTOEVENTO="Manual",ROUND(SUMPRODUCT((CÁLCULO!$M$15:$M$59=EVENTOS!$C45)*(OFFSET(CÁLCULO!$AA$15:$AA$59,0,I$13))),2),0)</f>
        <v>0</v>
      </c>
      <c r="J45" s="265" t="n">
        <f aca="true" t="array" ref="J45:J45">IF(AUTOEVENTO="Manual",ROUND(SUMPRODUCT((CÁLCULO!$M$15:$M$59=EVENTOS!$C45)*(OFFSET(CÁLCULO!$AA$15:$AA$59,0,J$13))),2),0)</f>
        <v>0</v>
      </c>
      <c r="K45" s="265" t="n">
        <f aca="true" t="array" ref="K45:K45">IF(AUTOEVENTO="Manual",ROUND(SUMPRODUCT((CÁLCULO!$M$15:$M$59=EVENTOS!$C45)*(OFFSET(CÁLCULO!$AA$15:$AA$59,0,K$13))),2),0)</f>
        <v>0</v>
      </c>
      <c r="L45" s="265" t="n">
        <f aca="true" t="array" ref="L45:L45">IF(AUTOEVENTO="Manual",ROUND(SUMPRODUCT((CÁLCULO!$M$15:$M$59=EVENTOS!$C45)*(OFFSET(CÁLCULO!$AA$15:$AA$59,0,L$13))),2),0)</f>
        <v>0</v>
      </c>
      <c r="M45" s="265" t="n">
        <f aca="true" t="array" ref="M45:M45">IF(AUTOEVENTO="Manual",ROUND(SUMPRODUCT((CÁLCULO!$M$15:$M$59=EVENTOS!$C45)*(OFFSET(CÁLCULO!$AA$15:$AA$59,0,M$13))),2),0)</f>
        <v>0</v>
      </c>
      <c r="N45" s="265" t="n">
        <f aca="true" t="array" ref="N45:N45">IF(AUTOEVENTO="Manual",ROUND(SUMPRODUCT((CÁLCULO!$M$15:$M$59=EVENTOS!$C45)*(OFFSET(CÁLCULO!$AA$15:$AA$59,0,N$13))),2),0)</f>
        <v>0</v>
      </c>
      <c r="O45" s="265" t="n">
        <f aca="true" t="array" ref="O45:O45">IF(AUTOEVENTO="Manual",ROUND(SUMPRODUCT((CÁLCULO!$M$15:$M$59=EVENTOS!$C45)*(OFFSET(CÁLCULO!$AA$15:$AA$59,0,O$13))),2),0)</f>
        <v>0</v>
      </c>
      <c r="P45" s="265" t="n">
        <f aca="true" t="array" ref="P45:P45">IF(AUTOEVENTO="Manual",ROUND(SUMPRODUCT((CÁLCULO!$M$15:$M$59=EVENTOS!$C45)*(OFFSET(CÁLCULO!$AA$15:$AA$59,0,P$13))),2),0)</f>
        <v>0</v>
      </c>
      <c r="Q45" s="265" t="n">
        <f aca="true" t="array" ref="Q45:Q45">IF(AUTOEVENTO="Manual",ROUND(SUMPRODUCT((CÁLCULO!$M$15:$M$59=EVENTOS!$C45)*(OFFSET(CÁLCULO!$AA$15:$AA$59,0,Q$13))),2),0)</f>
        <v>0</v>
      </c>
      <c r="R45" s="265" t="n">
        <f aca="true" t="array" ref="R45:R45">IF(AUTOEVENTO="Manual",ROUND(SUMPRODUCT((CÁLCULO!$M$15:$M$59=EVENTOS!$C45)*(OFFSET(CÁLCULO!$AA$15:$AA$59,0,R$13))),2),0)</f>
        <v>0</v>
      </c>
      <c r="S45" s="265" t="n">
        <f aca="true" t="array" ref="S45:S45">IF(AUTOEVENTO="Manual",ROUND(SUMPRODUCT((CÁLCULO!$M$15:$M$59=EVENTOS!$C45)*(OFFSET(CÁLCULO!$AA$15:$AA$59,0,S$13))),2),0)</f>
        <v>0</v>
      </c>
      <c r="T45" s="265" t="n">
        <f aca="true" t="array" ref="T45:T45">IF(AUTOEVENTO="Manual",ROUND(SUMPRODUCT((CÁLCULO!$M$15:$M$59=EVENTOS!$C45)*(OFFSET(CÁLCULO!$AA$15:$AA$59,0,T$13))),2),0)</f>
        <v>0</v>
      </c>
      <c r="U45" s="265" t="n">
        <f aca="true" t="array" ref="U45:U45">IF(AUTOEVENTO="Manual",ROUND(SUMPRODUCT((CÁLCULO!$M$15:$M$59=EVENTOS!$C45)*(OFFSET(CÁLCULO!$AA$15:$AA$59,0,U$13))),2),0)</f>
        <v>0</v>
      </c>
      <c r="V45" s="265" t="n">
        <f aca="true" t="array" ref="V45:V45">IF(AUTOEVENTO="Manual",ROUND(SUMPRODUCT((CÁLCULO!$M$15:$M$59=EVENTOS!$C45)*(OFFSET(CÁLCULO!$AA$15:$AA$59,0,V$13))),2),0)</f>
        <v>0</v>
      </c>
      <c r="W45" s="265" t="n">
        <f aca="true" t="array" ref="W45:W45">IF(AUTOEVENTO="Manual",ROUND(SUMPRODUCT((CÁLCULO!$M$15:$M$59=EVENTOS!$C45)*(OFFSET(CÁLCULO!$AA$15:$AA$59,0,W$13))),2),0)</f>
        <v>0</v>
      </c>
      <c r="X45" s="265" t="n">
        <f aca="true" t="array" ref="X45:X45">IF(AUTOEVENTO="Manual",ROUND(SUMPRODUCT((CÁLCULO!$M$15:$M$59=EVENTOS!$C45)*(OFFSET(CÁLCULO!$AA$15:$AA$59,0,X$13))),2),0)</f>
        <v>0</v>
      </c>
      <c r="Y45" s="265" t="n">
        <f aca="true" t="array" ref="Y45:Y45">IF(AUTOEVENTO="Manual",ROUND(SUMPRODUCT((CÁLCULO!$M$15:$M$59=EVENTOS!$C45)*(OFFSET(CÁLCULO!$AA$15:$AA$59,0,Y$13))),2),0)</f>
        <v>0</v>
      </c>
    </row>
    <row r="46" customFormat="false" ht="12.75" hidden="false" customHeight="false" outlineLevel="0" collapsed="false">
      <c r="A46" s="178" t="str">
        <f aca="false">IF(D46="","","F")</f>
        <v/>
      </c>
      <c r="B46" s="0" t="str">
        <f aca="false">IF(OR(C46=" ",D46=""),"",CONCATENATE(C46,". ",D46))</f>
        <v/>
      </c>
      <c r="C46" s="263" t="str">
        <f aca="true" t="array" ref="C46:C46">IF(OR(ROW(C46)=ROW(EVENTOS.firstrow)+1,AND(OFFSET(C46,-1,0)&lt;&gt;" ",OFFSET(C46,-1,1)&lt;&gt;"")),OFFSET(C46,-1,0)+1," ")</f>
        <v> </v>
      </c>
      <c r="D46" s="264"/>
      <c r="E46" s="265" t="n">
        <f aca="true" t="array" ref="E46:E46">IF(AUTOEVENTO="Manual",ROUND(SUMPRODUCT((CÁLCULO!$M$15:$M$59=EVENTOS!$C46)*(OFFSET(CÁLCULO!$AA$15:$AA$59,0,E$13))),2),0)</f>
        <v>0</v>
      </c>
      <c r="F46" s="266" t="n">
        <f aca="true">IF(AUTOEVENTO="Manual",ROUND(SUMPRODUCT((CÁLCULO!$M$15:$M$59=EVENTOS!$C46)*(OFFSET(CÁLCULO!$AA$15,0,1):OFFSET(CÁLCULO!$AL$59,0,-1))),2),0)</f>
        <v>0</v>
      </c>
      <c r="G46" s="267" t="str">
        <f aca="false">IF(AND(D46=0,F46&gt;0),"NOME",
 IF(AND(D46&lt;&gt;0,$F$14&gt;0,F46=0),"VALOR",
 IF(AND(Import.TipoArredondamento="TransfereGOV",$A46="F",LEN(D46)&gt;100),"Nome &gt;100","")))</f>
        <v/>
      </c>
      <c r="H46" s="265" t="n">
        <f aca="true" t="array" ref="H46:H46">IF(AUTOEVENTO="Manual",ROUND(SUMPRODUCT((CÁLCULO!$M$15:$M$59=EVENTOS!$C46)*(OFFSET(CÁLCULO!$AA$15:$AA$59,0,H$13))),2),0)</f>
        <v>0</v>
      </c>
      <c r="I46" s="265" t="n">
        <f aca="true" t="array" ref="I46:I46">IF(AUTOEVENTO="Manual",ROUND(SUMPRODUCT((CÁLCULO!$M$15:$M$59=EVENTOS!$C46)*(OFFSET(CÁLCULO!$AA$15:$AA$59,0,I$13))),2),0)</f>
        <v>0</v>
      </c>
      <c r="J46" s="265" t="n">
        <f aca="true" t="array" ref="J46:J46">IF(AUTOEVENTO="Manual",ROUND(SUMPRODUCT((CÁLCULO!$M$15:$M$59=EVENTOS!$C46)*(OFFSET(CÁLCULO!$AA$15:$AA$59,0,J$13))),2),0)</f>
        <v>0</v>
      </c>
      <c r="K46" s="265" t="n">
        <f aca="true" t="array" ref="K46:K46">IF(AUTOEVENTO="Manual",ROUND(SUMPRODUCT((CÁLCULO!$M$15:$M$59=EVENTOS!$C46)*(OFFSET(CÁLCULO!$AA$15:$AA$59,0,K$13))),2),0)</f>
        <v>0</v>
      </c>
      <c r="L46" s="265" t="n">
        <f aca="true" t="array" ref="L46:L46">IF(AUTOEVENTO="Manual",ROUND(SUMPRODUCT((CÁLCULO!$M$15:$M$59=EVENTOS!$C46)*(OFFSET(CÁLCULO!$AA$15:$AA$59,0,L$13))),2),0)</f>
        <v>0</v>
      </c>
      <c r="M46" s="265" t="n">
        <f aca="true" t="array" ref="M46:M46">IF(AUTOEVENTO="Manual",ROUND(SUMPRODUCT((CÁLCULO!$M$15:$M$59=EVENTOS!$C46)*(OFFSET(CÁLCULO!$AA$15:$AA$59,0,M$13))),2),0)</f>
        <v>0</v>
      </c>
      <c r="N46" s="265" t="n">
        <f aca="true" t="array" ref="N46:N46">IF(AUTOEVENTO="Manual",ROUND(SUMPRODUCT((CÁLCULO!$M$15:$M$59=EVENTOS!$C46)*(OFFSET(CÁLCULO!$AA$15:$AA$59,0,N$13))),2),0)</f>
        <v>0</v>
      </c>
      <c r="O46" s="265" t="n">
        <f aca="true" t="array" ref="O46:O46">IF(AUTOEVENTO="Manual",ROUND(SUMPRODUCT((CÁLCULO!$M$15:$M$59=EVENTOS!$C46)*(OFFSET(CÁLCULO!$AA$15:$AA$59,0,O$13))),2),0)</f>
        <v>0</v>
      </c>
      <c r="P46" s="265" t="n">
        <f aca="true" t="array" ref="P46:P46">IF(AUTOEVENTO="Manual",ROUND(SUMPRODUCT((CÁLCULO!$M$15:$M$59=EVENTOS!$C46)*(OFFSET(CÁLCULO!$AA$15:$AA$59,0,P$13))),2),0)</f>
        <v>0</v>
      </c>
      <c r="Q46" s="265" t="n">
        <f aca="true" t="array" ref="Q46:Q46">IF(AUTOEVENTO="Manual",ROUND(SUMPRODUCT((CÁLCULO!$M$15:$M$59=EVENTOS!$C46)*(OFFSET(CÁLCULO!$AA$15:$AA$59,0,Q$13))),2),0)</f>
        <v>0</v>
      </c>
      <c r="R46" s="265" t="n">
        <f aca="true" t="array" ref="R46:R46">IF(AUTOEVENTO="Manual",ROUND(SUMPRODUCT((CÁLCULO!$M$15:$M$59=EVENTOS!$C46)*(OFFSET(CÁLCULO!$AA$15:$AA$59,0,R$13))),2),0)</f>
        <v>0</v>
      </c>
      <c r="S46" s="265" t="n">
        <f aca="true" t="array" ref="S46:S46">IF(AUTOEVENTO="Manual",ROUND(SUMPRODUCT((CÁLCULO!$M$15:$M$59=EVENTOS!$C46)*(OFFSET(CÁLCULO!$AA$15:$AA$59,0,S$13))),2),0)</f>
        <v>0</v>
      </c>
      <c r="T46" s="265" t="n">
        <f aca="true" t="array" ref="T46:T46">IF(AUTOEVENTO="Manual",ROUND(SUMPRODUCT((CÁLCULO!$M$15:$M$59=EVENTOS!$C46)*(OFFSET(CÁLCULO!$AA$15:$AA$59,0,T$13))),2),0)</f>
        <v>0</v>
      </c>
      <c r="U46" s="265" t="n">
        <f aca="true" t="array" ref="U46:U46">IF(AUTOEVENTO="Manual",ROUND(SUMPRODUCT((CÁLCULO!$M$15:$M$59=EVENTOS!$C46)*(OFFSET(CÁLCULO!$AA$15:$AA$59,0,U$13))),2),0)</f>
        <v>0</v>
      </c>
      <c r="V46" s="265" t="n">
        <f aca="true" t="array" ref="V46:V46">IF(AUTOEVENTO="Manual",ROUND(SUMPRODUCT((CÁLCULO!$M$15:$M$59=EVENTOS!$C46)*(OFFSET(CÁLCULO!$AA$15:$AA$59,0,V$13))),2),0)</f>
        <v>0</v>
      </c>
      <c r="W46" s="265" t="n">
        <f aca="true" t="array" ref="W46:W46">IF(AUTOEVENTO="Manual",ROUND(SUMPRODUCT((CÁLCULO!$M$15:$M$59=EVENTOS!$C46)*(OFFSET(CÁLCULO!$AA$15:$AA$59,0,W$13))),2),0)</f>
        <v>0</v>
      </c>
      <c r="X46" s="265" t="n">
        <f aca="true" t="array" ref="X46:X46">IF(AUTOEVENTO="Manual",ROUND(SUMPRODUCT((CÁLCULO!$M$15:$M$59=EVENTOS!$C46)*(OFFSET(CÁLCULO!$AA$15:$AA$59,0,X$13))),2),0)</f>
        <v>0</v>
      </c>
      <c r="Y46" s="265" t="n">
        <f aca="true" t="array" ref="Y46:Y46">IF(AUTOEVENTO="Manual",ROUND(SUMPRODUCT((CÁLCULO!$M$15:$M$59=EVENTOS!$C46)*(OFFSET(CÁLCULO!$AA$15:$AA$59,0,Y$13))),2),0)</f>
        <v>0</v>
      </c>
    </row>
    <row r="47" customFormat="false" ht="12.75" hidden="false" customHeight="false" outlineLevel="0" collapsed="false">
      <c r="A47" s="178" t="str">
        <f aca="false">IF(D47="","","F")</f>
        <v/>
      </c>
      <c r="B47" s="0" t="str">
        <f aca="false">IF(OR(C47=" ",D47=""),"",CONCATENATE(C47,". ",D47))</f>
        <v/>
      </c>
      <c r="C47" s="263" t="str">
        <f aca="true" t="array" ref="C47:C47">IF(OR(ROW(C47)=ROW(EVENTOS.firstrow)+1,AND(OFFSET(C47,-1,0)&lt;&gt;" ",OFFSET(C47,-1,1)&lt;&gt;"")),OFFSET(C47,-1,0)+1," ")</f>
        <v> </v>
      </c>
      <c r="D47" s="264"/>
      <c r="E47" s="265" t="n">
        <f aca="true" t="array" ref="E47:E47">IF(AUTOEVENTO="Manual",ROUND(SUMPRODUCT((CÁLCULO!$M$15:$M$59=EVENTOS!$C47)*(OFFSET(CÁLCULO!$AA$15:$AA$59,0,E$13))),2),0)</f>
        <v>0</v>
      </c>
      <c r="F47" s="266" t="n">
        <f aca="true">IF(AUTOEVENTO="Manual",ROUND(SUMPRODUCT((CÁLCULO!$M$15:$M$59=EVENTOS!$C47)*(OFFSET(CÁLCULO!$AA$15,0,1):OFFSET(CÁLCULO!$AL$59,0,-1))),2),0)</f>
        <v>0</v>
      </c>
      <c r="G47" s="267" t="str">
        <f aca="false">IF(AND(D47=0,F47&gt;0),"NOME",
 IF(AND(D47&lt;&gt;0,$F$14&gt;0,F47=0),"VALOR",
 IF(AND(Import.TipoArredondamento="TransfereGOV",$A47="F",LEN(D47)&gt;100),"Nome &gt;100","")))</f>
        <v/>
      </c>
      <c r="H47" s="265" t="n">
        <f aca="true" t="array" ref="H47:H47">IF(AUTOEVENTO="Manual",ROUND(SUMPRODUCT((CÁLCULO!$M$15:$M$59=EVENTOS!$C47)*(OFFSET(CÁLCULO!$AA$15:$AA$59,0,H$13))),2),0)</f>
        <v>0</v>
      </c>
      <c r="I47" s="265" t="n">
        <f aca="true" t="array" ref="I47:I47">IF(AUTOEVENTO="Manual",ROUND(SUMPRODUCT((CÁLCULO!$M$15:$M$59=EVENTOS!$C47)*(OFFSET(CÁLCULO!$AA$15:$AA$59,0,I$13))),2),0)</f>
        <v>0</v>
      </c>
      <c r="J47" s="265" t="n">
        <f aca="true" t="array" ref="J47:J47">IF(AUTOEVENTO="Manual",ROUND(SUMPRODUCT((CÁLCULO!$M$15:$M$59=EVENTOS!$C47)*(OFFSET(CÁLCULO!$AA$15:$AA$59,0,J$13))),2),0)</f>
        <v>0</v>
      </c>
      <c r="K47" s="265" t="n">
        <f aca="true" t="array" ref="K47:K47">IF(AUTOEVENTO="Manual",ROUND(SUMPRODUCT((CÁLCULO!$M$15:$M$59=EVENTOS!$C47)*(OFFSET(CÁLCULO!$AA$15:$AA$59,0,K$13))),2),0)</f>
        <v>0</v>
      </c>
      <c r="L47" s="265" t="n">
        <f aca="true" t="array" ref="L47:L47">IF(AUTOEVENTO="Manual",ROUND(SUMPRODUCT((CÁLCULO!$M$15:$M$59=EVENTOS!$C47)*(OFFSET(CÁLCULO!$AA$15:$AA$59,0,L$13))),2),0)</f>
        <v>0</v>
      </c>
      <c r="M47" s="265" t="n">
        <f aca="true" t="array" ref="M47:M47">IF(AUTOEVENTO="Manual",ROUND(SUMPRODUCT((CÁLCULO!$M$15:$M$59=EVENTOS!$C47)*(OFFSET(CÁLCULO!$AA$15:$AA$59,0,M$13))),2),0)</f>
        <v>0</v>
      </c>
      <c r="N47" s="265" t="n">
        <f aca="true" t="array" ref="N47:N47">IF(AUTOEVENTO="Manual",ROUND(SUMPRODUCT((CÁLCULO!$M$15:$M$59=EVENTOS!$C47)*(OFFSET(CÁLCULO!$AA$15:$AA$59,0,N$13))),2),0)</f>
        <v>0</v>
      </c>
      <c r="O47" s="265" t="n">
        <f aca="true" t="array" ref="O47:O47">IF(AUTOEVENTO="Manual",ROUND(SUMPRODUCT((CÁLCULO!$M$15:$M$59=EVENTOS!$C47)*(OFFSET(CÁLCULO!$AA$15:$AA$59,0,O$13))),2),0)</f>
        <v>0</v>
      </c>
      <c r="P47" s="265" t="n">
        <f aca="true" t="array" ref="P47:P47">IF(AUTOEVENTO="Manual",ROUND(SUMPRODUCT((CÁLCULO!$M$15:$M$59=EVENTOS!$C47)*(OFFSET(CÁLCULO!$AA$15:$AA$59,0,P$13))),2),0)</f>
        <v>0</v>
      </c>
      <c r="Q47" s="265" t="n">
        <f aca="true" t="array" ref="Q47:Q47">IF(AUTOEVENTO="Manual",ROUND(SUMPRODUCT((CÁLCULO!$M$15:$M$59=EVENTOS!$C47)*(OFFSET(CÁLCULO!$AA$15:$AA$59,0,Q$13))),2),0)</f>
        <v>0</v>
      </c>
      <c r="R47" s="265" t="n">
        <f aca="true" t="array" ref="R47:R47">IF(AUTOEVENTO="Manual",ROUND(SUMPRODUCT((CÁLCULO!$M$15:$M$59=EVENTOS!$C47)*(OFFSET(CÁLCULO!$AA$15:$AA$59,0,R$13))),2),0)</f>
        <v>0</v>
      </c>
      <c r="S47" s="265" t="n">
        <f aca="true" t="array" ref="S47:S47">IF(AUTOEVENTO="Manual",ROUND(SUMPRODUCT((CÁLCULO!$M$15:$M$59=EVENTOS!$C47)*(OFFSET(CÁLCULO!$AA$15:$AA$59,0,S$13))),2),0)</f>
        <v>0</v>
      </c>
      <c r="T47" s="265" t="n">
        <f aca="true" t="array" ref="T47:T47">IF(AUTOEVENTO="Manual",ROUND(SUMPRODUCT((CÁLCULO!$M$15:$M$59=EVENTOS!$C47)*(OFFSET(CÁLCULO!$AA$15:$AA$59,0,T$13))),2),0)</f>
        <v>0</v>
      </c>
      <c r="U47" s="265" t="n">
        <f aca="true" t="array" ref="U47:U47">IF(AUTOEVENTO="Manual",ROUND(SUMPRODUCT((CÁLCULO!$M$15:$M$59=EVENTOS!$C47)*(OFFSET(CÁLCULO!$AA$15:$AA$59,0,U$13))),2),0)</f>
        <v>0</v>
      </c>
      <c r="V47" s="265" t="n">
        <f aca="true" t="array" ref="V47:V47">IF(AUTOEVENTO="Manual",ROUND(SUMPRODUCT((CÁLCULO!$M$15:$M$59=EVENTOS!$C47)*(OFFSET(CÁLCULO!$AA$15:$AA$59,0,V$13))),2),0)</f>
        <v>0</v>
      </c>
      <c r="W47" s="265" t="n">
        <f aca="true" t="array" ref="W47:W47">IF(AUTOEVENTO="Manual",ROUND(SUMPRODUCT((CÁLCULO!$M$15:$M$59=EVENTOS!$C47)*(OFFSET(CÁLCULO!$AA$15:$AA$59,0,W$13))),2),0)</f>
        <v>0</v>
      </c>
      <c r="X47" s="265" t="n">
        <f aca="true" t="array" ref="X47:X47">IF(AUTOEVENTO="Manual",ROUND(SUMPRODUCT((CÁLCULO!$M$15:$M$59=EVENTOS!$C47)*(OFFSET(CÁLCULO!$AA$15:$AA$59,0,X$13))),2),0)</f>
        <v>0</v>
      </c>
      <c r="Y47" s="265" t="n">
        <f aca="true" t="array" ref="Y47:Y47">IF(AUTOEVENTO="Manual",ROUND(SUMPRODUCT((CÁLCULO!$M$15:$M$59=EVENTOS!$C47)*(OFFSET(CÁLCULO!$AA$15:$AA$59,0,Y$13))),2),0)</f>
        <v>0</v>
      </c>
    </row>
    <row r="48" customFormat="false" ht="12.75" hidden="false" customHeight="false" outlineLevel="0" collapsed="false">
      <c r="A48" s="178" t="str">
        <f aca="false">IF(D48="","","F")</f>
        <v/>
      </c>
      <c r="B48" s="0" t="str">
        <f aca="false">IF(OR(C48=" ",D48=""),"",CONCATENATE(C48,". ",D48))</f>
        <v/>
      </c>
      <c r="C48" s="263" t="str">
        <f aca="true" t="array" ref="C48:C48">IF(OR(ROW(C48)=ROW(EVENTOS.firstrow)+1,AND(OFFSET(C48,-1,0)&lt;&gt;" ",OFFSET(C48,-1,1)&lt;&gt;"")),OFFSET(C48,-1,0)+1," ")</f>
        <v> </v>
      </c>
      <c r="D48" s="264"/>
      <c r="E48" s="265" t="n">
        <f aca="true" t="array" ref="E48:E48">IF(AUTOEVENTO="Manual",ROUND(SUMPRODUCT((CÁLCULO!$M$15:$M$59=EVENTOS!$C48)*(OFFSET(CÁLCULO!$AA$15:$AA$59,0,E$13))),2),0)</f>
        <v>0</v>
      </c>
      <c r="F48" s="266" t="n">
        <f aca="true">IF(AUTOEVENTO="Manual",ROUND(SUMPRODUCT((CÁLCULO!$M$15:$M$59=EVENTOS!$C48)*(OFFSET(CÁLCULO!$AA$15,0,1):OFFSET(CÁLCULO!$AL$59,0,-1))),2),0)</f>
        <v>0</v>
      </c>
      <c r="G48" s="267" t="str">
        <f aca="false">IF(AND(D48=0,F48&gt;0),"NOME",
 IF(AND(D48&lt;&gt;0,$F$14&gt;0,F48=0),"VALOR",
 IF(AND(Import.TipoArredondamento="TransfereGOV",$A48="F",LEN(D48)&gt;100),"Nome &gt;100","")))</f>
        <v/>
      </c>
      <c r="H48" s="265" t="n">
        <f aca="true" t="array" ref="H48:H48">IF(AUTOEVENTO="Manual",ROUND(SUMPRODUCT((CÁLCULO!$M$15:$M$59=EVENTOS!$C48)*(OFFSET(CÁLCULO!$AA$15:$AA$59,0,H$13))),2),0)</f>
        <v>0</v>
      </c>
      <c r="I48" s="265" t="n">
        <f aca="true" t="array" ref="I48:I48">IF(AUTOEVENTO="Manual",ROUND(SUMPRODUCT((CÁLCULO!$M$15:$M$59=EVENTOS!$C48)*(OFFSET(CÁLCULO!$AA$15:$AA$59,0,I$13))),2),0)</f>
        <v>0</v>
      </c>
      <c r="J48" s="265" t="n">
        <f aca="true" t="array" ref="J48:J48">IF(AUTOEVENTO="Manual",ROUND(SUMPRODUCT((CÁLCULO!$M$15:$M$59=EVENTOS!$C48)*(OFFSET(CÁLCULO!$AA$15:$AA$59,0,J$13))),2),0)</f>
        <v>0</v>
      </c>
      <c r="K48" s="265" t="n">
        <f aca="true" t="array" ref="K48:K48">IF(AUTOEVENTO="Manual",ROUND(SUMPRODUCT((CÁLCULO!$M$15:$M$59=EVENTOS!$C48)*(OFFSET(CÁLCULO!$AA$15:$AA$59,0,K$13))),2),0)</f>
        <v>0</v>
      </c>
      <c r="L48" s="265" t="n">
        <f aca="true" t="array" ref="L48:L48">IF(AUTOEVENTO="Manual",ROUND(SUMPRODUCT((CÁLCULO!$M$15:$M$59=EVENTOS!$C48)*(OFFSET(CÁLCULO!$AA$15:$AA$59,0,L$13))),2),0)</f>
        <v>0</v>
      </c>
      <c r="M48" s="265" t="n">
        <f aca="true" t="array" ref="M48:M48">IF(AUTOEVENTO="Manual",ROUND(SUMPRODUCT((CÁLCULO!$M$15:$M$59=EVENTOS!$C48)*(OFFSET(CÁLCULO!$AA$15:$AA$59,0,M$13))),2),0)</f>
        <v>0</v>
      </c>
      <c r="N48" s="265" t="n">
        <f aca="true" t="array" ref="N48:N48">IF(AUTOEVENTO="Manual",ROUND(SUMPRODUCT((CÁLCULO!$M$15:$M$59=EVENTOS!$C48)*(OFFSET(CÁLCULO!$AA$15:$AA$59,0,N$13))),2),0)</f>
        <v>0</v>
      </c>
      <c r="O48" s="265" t="n">
        <f aca="true" t="array" ref="O48:O48">IF(AUTOEVENTO="Manual",ROUND(SUMPRODUCT((CÁLCULO!$M$15:$M$59=EVENTOS!$C48)*(OFFSET(CÁLCULO!$AA$15:$AA$59,0,O$13))),2),0)</f>
        <v>0</v>
      </c>
      <c r="P48" s="265" t="n">
        <f aca="true" t="array" ref="P48:P48">IF(AUTOEVENTO="Manual",ROUND(SUMPRODUCT((CÁLCULO!$M$15:$M$59=EVENTOS!$C48)*(OFFSET(CÁLCULO!$AA$15:$AA$59,0,P$13))),2),0)</f>
        <v>0</v>
      </c>
      <c r="Q48" s="265" t="n">
        <f aca="true" t="array" ref="Q48:Q48">IF(AUTOEVENTO="Manual",ROUND(SUMPRODUCT((CÁLCULO!$M$15:$M$59=EVENTOS!$C48)*(OFFSET(CÁLCULO!$AA$15:$AA$59,0,Q$13))),2),0)</f>
        <v>0</v>
      </c>
      <c r="R48" s="265" t="n">
        <f aca="true" t="array" ref="R48:R48">IF(AUTOEVENTO="Manual",ROUND(SUMPRODUCT((CÁLCULO!$M$15:$M$59=EVENTOS!$C48)*(OFFSET(CÁLCULO!$AA$15:$AA$59,0,R$13))),2),0)</f>
        <v>0</v>
      </c>
      <c r="S48" s="265" t="n">
        <f aca="true" t="array" ref="S48:S48">IF(AUTOEVENTO="Manual",ROUND(SUMPRODUCT((CÁLCULO!$M$15:$M$59=EVENTOS!$C48)*(OFFSET(CÁLCULO!$AA$15:$AA$59,0,S$13))),2),0)</f>
        <v>0</v>
      </c>
      <c r="T48" s="265" t="n">
        <f aca="true" t="array" ref="T48:T48">IF(AUTOEVENTO="Manual",ROUND(SUMPRODUCT((CÁLCULO!$M$15:$M$59=EVENTOS!$C48)*(OFFSET(CÁLCULO!$AA$15:$AA$59,0,T$13))),2),0)</f>
        <v>0</v>
      </c>
      <c r="U48" s="265" t="n">
        <f aca="true" t="array" ref="U48:U48">IF(AUTOEVENTO="Manual",ROUND(SUMPRODUCT((CÁLCULO!$M$15:$M$59=EVENTOS!$C48)*(OFFSET(CÁLCULO!$AA$15:$AA$59,0,U$13))),2),0)</f>
        <v>0</v>
      </c>
      <c r="V48" s="265" t="n">
        <f aca="true" t="array" ref="V48:V48">IF(AUTOEVENTO="Manual",ROUND(SUMPRODUCT((CÁLCULO!$M$15:$M$59=EVENTOS!$C48)*(OFFSET(CÁLCULO!$AA$15:$AA$59,0,V$13))),2),0)</f>
        <v>0</v>
      </c>
      <c r="W48" s="265" t="n">
        <f aca="true" t="array" ref="W48:W48">IF(AUTOEVENTO="Manual",ROUND(SUMPRODUCT((CÁLCULO!$M$15:$M$59=EVENTOS!$C48)*(OFFSET(CÁLCULO!$AA$15:$AA$59,0,W$13))),2),0)</f>
        <v>0</v>
      </c>
      <c r="X48" s="265" t="n">
        <f aca="true" t="array" ref="X48:X48">IF(AUTOEVENTO="Manual",ROUND(SUMPRODUCT((CÁLCULO!$M$15:$M$59=EVENTOS!$C48)*(OFFSET(CÁLCULO!$AA$15:$AA$59,0,X$13))),2),0)</f>
        <v>0</v>
      </c>
      <c r="Y48" s="265" t="n">
        <f aca="true" t="array" ref="Y48:Y48">IF(AUTOEVENTO="Manual",ROUND(SUMPRODUCT((CÁLCULO!$M$15:$M$59=EVENTOS!$C48)*(OFFSET(CÁLCULO!$AA$15:$AA$59,0,Y$13))),2),0)</f>
        <v>0</v>
      </c>
    </row>
    <row r="49" customFormat="false" ht="12.75" hidden="false" customHeight="false" outlineLevel="0" collapsed="false">
      <c r="A49" s="178" t="str">
        <f aca="false">IF(D49="","","F")</f>
        <v/>
      </c>
      <c r="B49" s="0" t="str">
        <f aca="false">IF(OR(C49=" ",D49=""),"",CONCATENATE(C49,". ",D49))</f>
        <v/>
      </c>
      <c r="C49" s="263" t="str">
        <f aca="true" t="array" ref="C49:C49">IF(OR(ROW(C49)=ROW(EVENTOS.firstrow)+1,AND(OFFSET(C49,-1,0)&lt;&gt;" ",OFFSET(C49,-1,1)&lt;&gt;"")),OFFSET(C49,-1,0)+1," ")</f>
        <v> </v>
      </c>
      <c r="D49" s="264"/>
      <c r="E49" s="265" t="n">
        <f aca="true" t="array" ref="E49:E49">IF(AUTOEVENTO="Manual",ROUND(SUMPRODUCT((CÁLCULO!$M$15:$M$59=EVENTOS!$C49)*(OFFSET(CÁLCULO!$AA$15:$AA$59,0,E$13))),2),0)</f>
        <v>0</v>
      </c>
      <c r="F49" s="266" t="n">
        <f aca="true">IF(AUTOEVENTO="Manual",ROUND(SUMPRODUCT((CÁLCULO!$M$15:$M$59=EVENTOS!$C49)*(OFFSET(CÁLCULO!$AA$15,0,1):OFFSET(CÁLCULO!$AL$59,0,-1))),2),0)</f>
        <v>0</v>
      </c>
      <c r="G49" s="267" t="str">
        <f aca="false">IF(AND(D49=0,F49&gt;0),"NOME",
 IF(AND(D49&lt;&gt;0,$F$14&gt;0,F49=0),"VALOR",
 IF(AND(Import.TipoArredondamento="TransfereGOV",$A49="F",LEN(D49)&gt;100),"Nome &gt;100","")))</f>
        <v/>
      </c>
      <c r="H49" s="265" t="n">
        <f aca="true" t="array" ref="H49:H49">IF(AUTOEVENTO="Manual",ROUND(SUMPRODUCT((CÁLCULO!$M$15:$M$59=EVENTOS!$C49)*(OFFSET(CÁLCULO!$AA$15:$AA$59,0,H$13))),2),0)</f>
        <v>0</v>
      </c>
      <c r="I49" s="265" t="n">
        <f aca="true" t="array" ref="I49:I49">IF(AUTOEVENTO="Manual",ROUND(SUMPRODUCT((CÁLCULO!$M$15:$M$59=EVENTOS!$C49)*(OFFSET(CÁLCULO!$AA$15:$AA$59,0,I$13))),2),0)</f>
        <v>0</v>
      </c>
      <c r="J49" s="265" t="n">
        <f aca="true" t="array" ref="J49:J49">IF(AUTOEVENTO="Manual",ROUND(SUMPRODUCT((CÁLCULO!$M$15:$M$59=EVENTOS!$C49)*(OFFSET(CÁLCULO!$AA$15:$AA$59,0,J$13))),2),0)</f>
        <v>0</v>
      </c>
      <c r="K49" s="265" t="n">
        <f aca="true" t="array" ref="K49:K49">IF(AUTOEVENTO="Manual",ROUND(SUMPRODUCT((CÁLCULO!$M$15:$M$59=EVENTOS!$C49)*(OFFSET(CÁLCULO!$AA$15:$AA$59,0,K$13))),2),0)</f>
        <v>0</v>
      </c>
      <c r="L49" s="265" t="n">
        <f aca="true" t="array" ref="L49:L49">IF(AUTOEVENTO="Manual",ROUND(SUMPRODUCT((CÁLCULO!$M$15:$M$59=EVENTOS!$C49)*(OFFSET(CÁLCULO!$AA$15:$AA$59,0,L$13))),2),0)</f>
        <v>0</v>
      </c>
      <c r="M49" s="265" t="n">
        <f aca="true" t="array" ref="M49:M49">IF(AUTOEVENTO="Manual",ROUND(SUMPRODUCT((CÁLCULO!$M$15:$M$59=EVENTOS!$C49)*(OFFSET(CÁLCULO!$AA$15:$AA$59,0,M$13))),2),0)</f>
        <v>0</v>
      </c>
      <c r="N49" s="265" t="n">
        <f aca="true" t="array" ref="N49:N49">IF(AUTOEVENTO="Manual",ROUND(SUMPRODUCT((CÁLCULO!$M$15:$M$59=EVENTOS!$C49)*(OFFSET(CÁLCULO!$AA$15:$AA$59,0,N$13))),2),0)</f>
        <v>0</v>
      </c>
      <c r="O49" s="265" t="n">
        <f aca="true" t="array" ref="O49:O49">IF(AUTOEVENTO="Manual",ROUND(SUMPRODUCT((CÁLCULO!$M$15:$M$59=EVENTOS!$C49)*(OFFSET(CÁLCULO!$AA$15:$AA$59,0,O$13))),2),0)</f>
        <v>0</v>
      </c>
      <c r="P49" s="265" t="n">
        <f aca="true" t="array" ref="P49:P49">IF(AUTOEVENTO="Manual",ROUND(SUMPRODUCT((CÁLCULO!$M$15:$M$59=EVENTOS!$C49)*(OFFSET(CÁLCULO!$AA$15:$AA$59,0,P$13))),2),0)</f>
        <v>0</v>
      </c>
      <c r="Q49" s="265" t="n">
        <f aca="true" t="array" ref="Q49:Q49">IF(AUTOEVENTO="Manual",ROUND(SUMPRODUCT((CÁLCULO!$M$15:$M$59=EVENTOS!$C49)*(OFFSET(CÁLCULO!$AA$15:$AA$59,0,Q$13))),2),0)</f>
        <v>0</v>
      </c>
      <c r="R49" s="265" t="n">
        <f aca="true" t="array" ref="R49:R49">IF(AUTOEVENTO="Manual",ROUND(SUMPRODUCT((CÁLCULO!$M$15:$M$59=EVENTOS!$C49)*(OFFSET(CÁLCULO!$AA$15:$AA$59,0,R$13))),2),0)</f>
        <v>0</v>
      </c>
      <c r="S49" s="265" t="n">
        <f aca="true" t="array" ref="S49:S49">IF(AUTOEVENTO="Manual",ROUND(SUMPRODUCT((CÁLCULO!$M$15:$M$59=EVENTOS!$C49)*(OFFSET(CÁLCULO!$AA$15:$AA$59,0,S$13))),2),0)</f>
        <v>0</v>
      </c>
      <c r="T49" s="265" t="n">
        <f aca="true" t="array" ref="T49:T49">IF(AUTOEVENTO="Manual",ROUND(SUMPRODUCT((CÁLCULO!$M$15:$M$59=EVENTOS!$C49)*(OFFSET(CÁLCULO!$AA$15:$AA$59,0,T$13))),2),0)</f>
        <v>0</v>
      </c>
      <c r="U49" s="265" t="n">
        <f aca="true" t="array" ref="U49:U49">IF(AUTOEVENTO="Manual",ROUND(SUMPRODUCT((CÁLCULO!$M$15:$M$59=EVENTOS!$C49)*(OFFSET(CÁLCULO!$AA$15:$AA$59,0,U$13))),2),0)</f>
        <v>0</v>
      </c>
      <c r="V49" s="265" t="n">
        <f aca="true" t="array" ref="V49:V49">IF(AUTOEVENTO="Manual",ROUND(SUMPRODUCT((CÁLCULO!$M$15:$M$59=EVENTOS!$C49)*(OFFSET(CÁLCULO!$AA$15:$AA$59,0,V$13))),2),0)</f>
        <v>0</v>
      </c>
      <c r="W49" s="265" t="n">
        <f aca="true" t="array" ref="W49:W49">IF(AUTOEVENTO="Manual",ROUND(SUMPRODUCT((CÁLCULO!$M$15:$M$59=EVENTOS!$C49)*(OFFSET(CÁLCULO!$AA$15:$AA$59,0,W$13))),2),0)</f>
        <v>0</v>
      </c>
      <c r="X49" s="265" t="n">
        <f aca="true" t="array" ref="X49:X49">IF(AUTOEVENTO="Manual",ROUND(SUMPRODUCT((CÁLCULO!$M$15:$M$59=EVENTOS!$C49)*(OFFSET(CÁLCULO!$AA$15:$AA$59,0,X$13))),2),0)</f>
        <v>0</v>
      </c>
      <c r="Y49" s="265" t="n">
        <f aca="true" t="array" ref="Y49:Y49">IF(AUTOEVENTO="Manual",ROUND(SUMPRODUCT((CÁLCULO!$M$15:$M$59=EVENTOS!$C49)*(OFFSET(CÁLCULO!$AA$15:$AA$59,0,Y$13))),2),0)</f>
        <v>0</v>
      </c>
    </row>
    <row r="50" customFormat="false" ht="12.75" hidden="false" customHeight="false" outlineLevel="0" collapsed="false">
      <c r="A50" s="178" t="str">
        <f aca="false">IF(D50="","","F")</f>
        <v/>
      </c>
      <c r="B50" s="0" t="str">
        <f aca="false">IF(OR(C50=" ",D50=""),"",CONCATENATE(C50,". ",D50))</f>
        <v/>
      </c>
      <c r="C50" s="263" t="str">
        <f aca="true" t="array" ref="C50:C50">IF(OR(ROW(C50)=ROW(EVENTOS.firstrow)+1,AND(OFFSET(C50,-1,0)&lt;&gt;" ",OFFSET(C50,-1,1)&lt;&gt;"")),OFFSET(C50,-1,0)+1," ")</f>
        <v> </v>
      </c>
      <c r="D50" s="264"/>
      <c r="E50" s="265" t="n">
        <f aca="true" t="array" ref="E50:E50">IF(AUTOEVENTO="Manual",ROUND(SUMPRODUCT((CÁLCULO!$M$15:$M$59=EVENTOS!$C50)*(OFFSET(CÁLCULO!$AA$15:$AA$59,0,E$13))),2),0)</f>
        <v>0</v>
      </c>
      <c r="F50" s="266" t="n">
        <f aca="true">IF(AUTOEVENTO="Manual",ROUND(SUMPRODUCT((CÁLCULO!$M$15:$M$59=EVENTOS!$C50)*(OFFSET(CÁLCULO!$AA$15,0,1):OFFSET(CÁLCULO!$AL$59,0,-1))),2),0)</f>
        <v>0</v>
      </c>
      <c r="G50" s="267" t="str">
        <f aca="false">IF(AND(D50=0,F50&gt;0),"NOME",
 IF(AND(D50&lt;&gt;0,$F$14&gt;0,F50=0),"VALOR",
 IF(AND(Import.TipoArredondamento="TransfereGOV",$A50="F",LEN(D50)&gt;100),"Nome &gt;100","")))</f>
        <v/>
      </c>
      <c r="H50" s="265" t="n">
        <f aca="true" t="array" ref="H50:H50">IF(AUTOEVENTO="Manual",ROUND(SUMPRODUCT((CÁLCULO!$M$15:$M$59=EVENTOS!$C50)*(OFFSET(CÁLCULO!$AA$15:$AA$59,0,H$13))),2),0)</f>
        <v>0</v>
      </c>
      <c r="I50" s="265" t="n">
        <f aca="true" t="array" ref="I50:I50">IF(AUTOEVENTO="Manual",ROUND(SUMPRODUCT((CÁLCULO!$M$15:$M$59=EVENTOS!$C50)*(OFFSET(CÁLCULO!$AA$15:$AA$59,0,I$13))),2),0)</f>
        <v>0</v>
      </c>
      <c r="J50" s="265" t="n">
        <f aca="true" t="array" ref="J50:J50">IF(AUTOEVENTO="Manual",ROUND(SUMPRODUCT((CÁLCULO!$M$15:$M$59=EVENTOS!$C50)*(OFFSET(CÁLCULO!$AA$15:$AA$59,0,J$13))),2),0)</f>
        <v>0</v>
      </c>
      <c r="K50" s="265" t="n">
        <f aca="true" t="array" ref="K50:K50">IF(AUTOEVENTO="Manual",ROUND(SUMPRODUCT((CÁLCULO!$M$15:$M$59=EVENTOS!$C50)*(OFFSET(CÁLCULO!$AA$15:$AA$59,0,K$13))),2),0)</f>
        <v>0</v>
      </c>
      <c r="L50" s="265" t="n">
        <f aca="true" t="array" ref="L50:L50">IF(AUTOEVENTO="Manual",ROUND(SUMPRODUCT((CÁLCULO!$M$15:$M$59=EVENTOS!$C50)*(OFFSET(CÁLCULO!$AA$15:$AA$59,0,L$13))),2),0)</f>
        <v>0</v>
      </c>
      <c r="M50" s="265" t="n">
        <f aca="true" t="array" ref="M50:M50">IF(AUTOEVENTO="Manual",ROUND(SUMPRODUCT((CÁLCULO!$M$15:$M$59=EVENTOS!$C50)*(OFFSET(CÁLCULO!$AA$15:$AA$59,0,M$13))),2),0)</f>
        <v>0</v>
      </c>
      <c r="N50" s="265" t="n">
        <f aca="true" t="array" ref="N50:N50">IF(AUTOEVENTO="Manual",ROUND(SUMPRODUCT((CÁLCULO!$M$15:$M$59=EVENTOS!$C50)*(OFFSET(CÁLCULO!$AA$15:$AA$59,0,N$13))),2),0)</f>
        <v>0</v>
      </c>
      <c r="O50" s="265" t="n">
        <f aca="true" t="array" ref="O50:O50">IF(AUTOEVENTO="Manual",ROUND(SUMPRODUCT((CÁLCULO!$M$15:$M$59=EVENTOS!$C50)*(OFFSET(CÁLCULO!$AA$15:$AA$59,0,O$13))),2),0)</f>
        <v>0</v>
      </c>
      <c r="P50" s="265" t="n">
        <f aca="true" t="array" ref="P50:P50">IF(AUTOEVENTO="Manual",ROUND(SUMPRODUCT((CÁLCULO!$M$15:$M$59=EVENTOS!$C50)*(OFFSET(CÁLCULO!$AA$15:$AA$59,0,P$13))),2),0)</f>
        <v>0</v>
      </c>
      <c r="Q50" s="265" t="n">
        <f aca="true" t="array" ref="Q50:Q50">IF(AUTOEVENTO="Manual",ROUND(SUMPRODUCT((CÁLCULO!$M$15:$M$59=EVENTOS!$C50)*(OFFSET(CÁLCULO!$AA$15:$AA$59,0,Q$13))),2),0)</f>
        <v>0</v>
      </c>
      <c r="R50" s="265" t="n">
        <f aca="true" t="array" ref="R50:R50">IF(AUTOEVENTO="Manual",ROUND(SUMPRODUCT((CÁLCULO!$M$15:$M$59=EVENTOS!$C50)*(OFFSET(CÁLCULO!$AA$15:$AA$59,0,R$13))),2),0)</f>
        <v>0</v>
      </c>
      <c r="S50" s="265" t="n">
        <f aca="true" t="array" ref="S50:S50">IF(AUTOEVENTO="Manual",ROUND(SUMPRODUCT((CÁLCULO!$M$15:$M$59=EVENTOS!$C50)*(OFFSET(CÁLCULO!$AA$15:$AA$59,0,S$13))),2),0)</f>
        <v>0</v>
      </c>
      <c r="T50" s="265" t="n">
        <f aca="true" t="array" ref="T50:T50">IF(AUTOEVENTO="Manual",ROUND(SUMPRODUCT((CÁLCULO!$M$15:$M$59=EVENTOS!$C50)*(OFFSET(CÁLCULO!$AA$15:$AA$59,0,T$13))),2),0)</f>
        <v>0</v>
      </c>
      <c r="U50" s="265" t="n">
        <f aca="true" t="array" ref="U50:U50">IF(AUTOEVENTO="Manual",ROUND(SUMPRODUCT((CÁLCULO!$M$15:$M$59=EVENTOS!$C50)*(OFFSET(CÁLCULO!$AA$15:$AA$59,0,U$13))),2),0)</f>
        <v>0</v>
      </c>
      <c r="V50" s="265" t="n">
        <f aca="true" t="array" ref="V50:V50">IF(AUTOEVENTO="Manual",ROUND(SUMPRODUCT((CÁLCULO!$M$15:$M$59=EVENTOS!$C50)*(OFFSET(CÁLCULO!$AA$15:$AA$59,0,V$13))),2),0)</f>
        <v>0</v>
      </c>
      <c r="W50" s="265" t="n">
        <f aca="true" t="array" ref="W50:W50">IF(AUTOEVENTO="Manual",ROUND(SUMPRODUCT((CÁLCULO!$M$15:$M$59=EVENTOS!$C50)*(OFFSET(CÁLCULO!$AA$15:$AA$59,0,W$13))),2),0)</f>
        <v>0</v>
      </c>
      <c r="X50" s="265" t="n">
        <f aca="true" t="array" ref="X50:X50">IF(AUTOEVENTO="Manual",ROUND(SUMPRODUCT((CÁLCULO!$M$15:$M$59=EVENTOS!$C50)*(OFFSET(CÁLCULO!$AA$15:$AA$59,0,X$13))),2),0)</f>
        <v>0</v>
      </c>
      <c r="Y50" s="265" t="n">
        <f aca="true" t="array" ref="Y50:Y50">IF(AUTOEVENTO="Manual",ROUND(SUMPRODUCT((CÁLCULO!$M$15:$M$59=EVENTOS!$C50)*(OFFSET(CÁLCULO!$AA$15:$AA$59,0,Y$13))),2),0)</f>
        <v>0</v>
      </c>
    </row>
    <row r="51" customFormat="false" ht="12.75" hidden="false" customHeight="false" outlineLevel="0" collapsed="false">
      <c r="A51" s="178" t="str">
        <f aca="false">IF(D51="","","F")</f>
        <v/>
      </c>
      <c r="B51" s="0" t="str">
        <f aca="false">IF(OR(C51=" ",D51=""),"",CONCATENATE(C51,". ",D51))</f>
        <v/>
      </c>
      <c r="C51" s="263" t="str">
        <f aca="true" t="array" ref="C51:C51">IF(OR(ROW(C51)=ROW(EVENTOS.firstrow)+1,AND(OFFSET(C51,-1,0)&lt;&gt;" ",OFFSET(C51,-1,1)&lt;&gt;"")),OFFSET(C51,-1,0)+1," ")</f>
        <v> </v>
      </c>
      <c r="D51" s="264"/>
      <c r="E51" s="265" t="n">
        <f aca="true" t="array" ref="E51:E51">IF(AUTOEVENTO="Manual",ROUND(SUMPRODUCT((CÁLCULO!$M$15:$M$59=EVENTOS!$C51)*(OFFSET(CÁLCULO!$AA$15:$AA$59,0,E$13))),2),0)</f>
        <v>0</v>
      </c>
      <c r="F51" s="266" t="n">
        <f aca="true">IF(AUTOEVENTO="Manual",ROUND(SUMPRODUCT((CÁLCULO!$M$15:$M$59=EVENTOS!$C51)*(OFFSET(CÁLCULO!$AA$15,0,1):OFFSET(CÁLCULO!$AL$59,0,-1))),2),0)</f>
        <v>0</v>
      </c>
      <c r="G51" s="267" t="str">
        <f aca="false">IF(AND(D51=0,F51&gt;0),"NOME",
 IF(AND(D51&lt;&gt;0,$F$14&gt;0,F51=0),"VALOR",
 IF(AND(Import.TipoArredondamento="TransfereGOV",$A51="F",LEN(D51)&gt;100),"Nome &gt;100","")))</f>
        <v/>
      </c>
      <c r="H51" s="265" t="n">
        <f aca="true" t="array" ref="H51:H51">IF(AUTOEVENTO="Manual",ROUND(SUMPRODUCT((CÁLCULO!$M$15:$M$59=EVENTOS!$C51)*(OFFSET(CÁLCULO!$AA$15:$AA$59,0,H$13))),2),0)</f>
        <v>0</v>
      </c>
      <c r="I51" s="265" t="n">
        <f aca="true" t="array" ref="I51:I51">IF(AUTOEVENTO="Manual",ROUND(SUMPRODUCT((CÁLCULO!$M$15:$M$59=EVENTOS!$C51)*(OFFSET(CÁLCULO!$AA$15:$AA$59,0,I$13))),2),0)</f>
        <v>0</v>
      </c>
      <c r="J51" s="265" t="n">
        <f aca="true" t="array" ref="J51:J51">IF(AUTOEVENTO="Manual",ROUND(SUMPRODUCT((CÁLCULO!$M$15:$M$59=EVENTOS!$C51)*(OFFSET(CÁLCULO!$AA$15:$AA$59,0,J$13))),2),0)</f>
        <v>0</v>
      </c>
      <c r="K51" s="265" t="n">
        <f aca="true" t="array" ref="K51:K51">IF(AUTOEVENTO="Manual",ROUND(SUMPRODUCT((CÁLCULO!$M$15:$M$59=EVENTOS!$C51)*(OFFSET(CÁLCULO!$AA$15:$AA$59,0,K$13))),2),0)</f>
        <v>0</v>
      </c>
      <c r="L51" s="265" t="n">
        <f aca="true" t="array" ref="L51:L51">IF(AUTOEVENTO="Manual",ROUND(SUMPRODUCT((CÁLCULO!$M$15:$M$59=EVENTOS!$C51)*(OFFSET(CÁLCULO!$AA$15:$AA$59,0,L$13))),2),0)</f>
        <v>0</v>
      </c>
      <c r="M51" s="265" t="n">
        <f aca="true" t="array" ref="M51:M51">IF(AUTOEVENTO="Manual",ROUND(SUMPRODUCT((CÁLCULO!$M$15:$M$59=EVENTOS!$C51)*(OFFSET(CÁLCULO!$AA$15:$AA$59,0,M$13))),2),0)</f>
        <v>0</v>
      </c>
      <c r="N51" s="265" t="n">
        <f aca="true" t="array" ref="N51:N51">IF(AUTOEVENTO="Manual",ROUND(SUMPRODUCT((CÁLCULO!$M$15:$M$59=EVENTOS!$C51)*(OFFSET(CÁLCULO!$AA$15:$AA$59,0,N$13))),2),0)</f>
        <v>0</v>
      </c>
      <c r="O51" s="265" t="n">
        <f aca="true" t="array" ref="O51:O51">IF(AUTOEVENTO="Manual",ROUND(SUMPRODUCT((CÁLCULO!$M$15:$M$59=EVENTOS!$C51)*(OFFSET(CÁLCULO!$AA$15:$AA$59,0,O$13))),2),0)</f>
        <v>0</v>
      </c>
      <c r="P51" s="265" t="n">
        <f aca="true" t="array" ref="P51:P51">IF(AUTOEVENTO="Manual",ROUND(SUMPRODUCT((CÁLCULO!$M$15:$M$59=EVENTOS!$C51)*(OFFSET(CÁLCULO!$AA$15:$AA$59,0,P$13))),2),0)</f>
        <v>0</v>
      </c>
      <c r="Q51" s="265" t="n">
        <f aca="true" t="array" ref="Q51:Q51">IF(AUTOEVENTO="Manual",ROUND(SUMPRODUCT((CÁLCULO!$M$15:$M$59=EVENTOS!$C51)*(OFFSET(CÁLCULO!$AA$15:$AA$59,0,Q$13))),2),0)</f>
        <v>0</v>
      </c>
      <c r="R51" s="265" t="n">
        <f aca="true" t="array" ref="R51:R51">IF(AUTOEVENTO="Manual",ROUND(SUMPRODUCT((CÁLCULO!$M$15:$M$59=EVENTOS!$C51)*(OFFSET(CÁLCULO!$AA$15:$AA$59,0,R$13))),2),0)</f>
        <v>0</v>
      </c>
      <c r="S51" s="265" t="n">
        <f aca="true" t="array" ref="S51:S51">IF(AUTOEVENTO="Manual",ROUND(SUMPRODUCT((CÁLCULO!$M$15:$M$59=EVENTOS!$C51)*(OFFSET(CÁLCULO!$AA$15:$AA$59,0,S$13))),2),0)</f>
        <v>0</v>
      </c>
      <c r="T51" s="265" t="n">
        <f aca="true" t="array" ref="T51:T51">IF(AUTOEVENTO="Manual",ROUND(SUMPRODUCT((CÁLCULO!$M$15:$M$59=EVENTOS!$C51)*(OFFSET(CÁLCULO!$AA$15:$AA$59,0,T$13))),2),0)</f>
        <v>0</v>
      </c>
      <c r="U51" s="265" t="n">
        <f aca="true" t="array" ref="U51:U51">IF(AUTOEVENTO="Manual",ROUND(SUMPRODUCT((CÁLCULO!$M$15:$M$59=EVENTOS!$C51)*(OFFSET(CÁLCULO!$AA$15:$AA$59,0,U$13))),2),0)</f>
        <v>0</v>
      </c>
      <c r="V51" s="265" t="n">
        <f aca="true" t="array" ref="V51:V51">IF(AUTOEVENTO="Manual",ROUND(SUMPRODUCT((CÁLCULO!$M$15:$M$59=EVENTOS!$C51)*(OFFSET(CÁLCULO!$AA$15:$AA$59,0,V$13))),2),0)</f>
        <v>0</v>
      </c>
      <c r="W51" s="265" t="n">
        <f aca="true" t="array" ref="W51:W51">IF(AUTOEVENTO="Manual",ROUND(SUMPRODUCT((CÁLCULO!$M$15:$M$59=EVENTOS!$C51)*(OFFSET(CÁLCULO!$AA$15:$AA$59,0,W$13))),2),0)</f>
        <v>0</v>
      </c>
      <c r="X51" s="265" t="n">
        <f aca="true" t="array" ref="X51:X51">IF(AUTOEVENTO="Manual",ROUND(SUMPRODUCT((CÁLCULO!$M$15:$M$59=EVENTOS!$C51)*(OFFSET(CÁLCULO!$AA$15:$AA$59,0,X$13))),2),0)</f>
        <v>0</v>
      </c>
      <c r="Y51" s="265" t="n">
        <f aca="true" t="array" ref="Y51:Y51">IF(AUTOEVENTO="Manual",ROUND(SUMPRODUCT((CÁLCULO!$M$15:$M$59=EVENTOS!$C51)*(OFFSET(CÁLCULO!$AA$15:$AA$59,0,Y$13))),2),0)</f>
        <v>0</v>
      </c>
    </row>
    <row r="52" customFormat="false" ht="12.75" hidden="false" customHeight="false" outlineLevel="0" collapsed="false">
      <c r="A52" s="178" t="str">
        <f aca="false">IF(D52="","","F")</f>
        <v/>
      </c>
      <c r="B52" s="0" t="str">
        <f aca="false">IF(OR(C52=" ",D52=""),"",CONCATENATE(C52,". ",D52))</f>
        <v/>
      </c>
      <c r="C52" s="263" t="str">
        <f aca="true" t="array" ref="C52:C52">IF(OR(ROW(C52)=ROW(EVENTOS.firstrow)+1,AND(OFFSET(C52,-1,0)&lt;&gt;" ",OFFSET(C52,-1,1)&lt;&gt;"")),OFFSET(C52,-1,0)+1," ")</f>
        <v> </v>
      </c>
      <c r="D52" s="264"/>
      <c r="E52" s="265" t="n">
        <f aca="true" t="array" ref="E52:E52">IF(AUTOEVENTO="Manual",ROUND(SUMPRODUCT((CÁLCULO!$M$15:$M$59=EVENTOS!$C52)*(OFFSET(CÁLCULO!$AA$15:$AA$59,0,E$13))),2),0)</f>
        <v>0</v>
      </c>
      <c r="F52" s="266" t="n">
        <f aca="true">IF(AUTOEVENTO="Manual",ROUND(SUMPRODUCT((CÁLCULO!$M$15:$M$59=EVENTOS!$C52)*(OFFSET(CÁLCULO!$AA$15,0,1):OFFSET(CÁLCULO!$AL$59,0,-1))),2),0)</f>
        <v>0</v>
      </c>
      <c r="G52" s="267" t="str">
        <f aca="false">IF(AND(D52=0,F52&gt;0),"NOME",
 IF(AND(D52&lt;&gt;0,$F$14&gt;0,F52=0),"VALOR",
 IF(AND(Import.TipoArredondamento="TransfereGOV",$A52="F",LEN(D52)&gt;100),"Nome &gt;100","")))</f>
        <v/>
      </c>
      <c r="H52" s="265" t="n">
        <f aca="true" t="array" ref="H52:H52">IF(AUTOEVENTO="Manual",ROUND(SUMPRODUCT((CÁLCULO!$M$15:$M$59=EVENTOS!$C52)*(OFFSET(CÁLCULO!$AA$15:$AA$59,0,H$13))),2),0)</f>
        <v>0</v>
      </c>
      <c r="I52" s="265" t="n">
        <f aca="true" t="array" ref="I52:I52">IF(AUTOEVENTO="Manual",ROUND(SUMPRODUCT((CÁLCULO!$M$15:$M$59=EVENTOS!$C52)*(OFFSET(CÁLCULO!$AA$15:$AA$59,0,I$13))),2),0)</f>
        <v>0</v>
      </c>
      <c r="J52" s="265" t="n">
        <f aca="true" t="array" ref="J52:J52">IF(AUTOEVENTO="Manual",ROUND(SUMPRODUCT((CÁLCULO!$M$15:$M$59=EVENTOS!$C52)*(OFFSET(CÁLCULO!$AA$15:$AA$59,0,J$13))),2),0)</f>
        <v>0</v>
      </c>
      <c r="K52" s="265" t="n">
        <f aca="true" t="array" ref="K52:K52">IF(AUTOEVENTO="Manual",ROUND(SUMPRODUCT((CÁLCULO!$M$15:$M$59=EVENTOS!$C52)*(OFFSET(CÁLCULO!$AA$15:$AA$59,0,K$13))),2),0)</f>
        <v>0</v>
      </c>
      <c r="L52" s="265" t="n">
        <f aca="true" t="array" ref="L52:L52">IF(AUTOEVENTO="Manual",ROUND(SUMPRODUCT((CÁLCULO!$M$15:$M$59=EVENTOS!$C52)*(OFFSET(CÁLCULO!$AA$15:$AA$59,0,L$13))),2),0)</f>
        <v>0</v>
      </c>
      <c r="M52" s="265" t="n">
        <f aca="true" t="array" ref="M52:M52">IF(AUTOEVENTO="Manual",ROUND(SUMPRODUCT((CÁLCULO!$M$15:$M$59=EVENTOS!$C52)*(OFFSET(CÁLCULO!$AA$15:$AA$59,0,M$13))),2),0)</f>
        <v>0</v>
      </c>
      <c r="N52" s="265" t="n">
        <f aca="true" t="array" ref="N52:N52">IF(AUTOEVENTO="Manual",ROUND(SUMPRODUCT((CÁLCULO!$M$15:$M$59=EVENTOS!$C52)*(OFFSET(CÁLCULO!$AA$15:$AA$59,0,N$13))),2),0)</f>
        <v>0</v>
      </c>
      <c r="O52" s="265" t="n">
        <f aca="true" t="array" ref="O52:O52">IF(AUTOEVENTO="Manual",ROUND(SUMPRODUCT((CÁLCULO!$M$15:$M$59=EVENTOS!$C52)*(OFFSET(CÁLCULO!$AA$15:$AA$59,0,O$13))),2),0)</f>
        <v>0</v>
      </c>
      <c r="P52" s="265" t="n">
        <f aca="true" t="array" ref="P52:P52">IF(AUTOEVENTO="Manual",ROUND(SUMPRODUCT((CÁLCULO!$M$15:$M$59=EVENTOS!$C52)*(OFFSET(CÁLCULO!$AA$15:$AA$59,0,P$13))),2),0)</f>
        <v>0</v>
      </c>
      <c r="Q52" s="265" t="n">
        <f aca="true" t="array" ref="Q52:Q52">IF(AUTOEVENTO="Manual",ROUND(SUMPRODUCT((CÁLCULO!$M$15:$M$59=EVENTOS!$C52)*(OFFSET(CÁLCULO!$AA$15:$AA$59,0,Q$13))),2),0)</f>
        <v>0</v>
      </c>
      <c r="R52" s="265" t="n">
        <f aca="true" t="array" ref="R52:R52">IF(AUTOEVENTO="Manual",ROUND(SUMPRODUCT((CÁLCULO!$M$15:$M$59=EVENTOS!$C52)*(OFFSET(CÁLCULO!$AA$15:$AA$59,0,R$13))),2),0)</f>
        <v>0</v>
      </c>
      <c r="S52" s="265" t="n">
        <f aca="true" t="array" ref="S52:S52">IF(AUTOEVENTO="Manual",ROUND(SUMPRODUCT((CÁLCULO!$M$15:$M$59=EVENTOS!$C52)*(OFFSET(CÁLCULO!$AA$15:$AA$59,0,S$13))),2),0)</f>
        <v>0</v>
      </c>
      <c r="T52" s="265" t="n">
        <f aca="true" t="array" ref="T52:T52">IF(AUTOEVENTO="Manual",ROUND(SUMPRODUCT((CÁLCULO!$M$15:$M$59=EVENTOS!$C52)*(OFFSET(CÁLCULO!$AA$15:$AA$59,0,T$13))),2),0)</f>
        <v>0</v>
      </c>
      <c r="U52" s="265" t="n">
        <f aca="true" t="array" ref="U52:U52">IF(AUTOEVENTO="Manual",ROUND(SUMPRODUCT((CÁLCULO!$M$15:$M$59=EVENTOS!$C52)*(OFFSET(CÁLCULO!$AA$15:$AA$59,0,U$13))),2),0)</f>
        <v>0</v>
      </c>
      <c r="V52" s="265" t="n">
        <f aca="true" t="array" ref="V52:V52">IF(AUTOEVENTO="Manual",ROUND(SUMPRODUCT((CÁLCULO!$M$15:$M$59=EVENTOS!$C52)*(OFFSET(CÁLCULO!$AA$15:$AA$59,0,V$13))),2),0)</f>
        <v>0</v>
      </c>
      <c r="W52" s="265" t="n">
        <f aca="true" t="array" ref="W52:W52">IF(AUTOEVENTO="Manual",ROUND(SUMPRODUCT((CÁLCULO!$M$15:$M$59=EVENTOS!$C52)*(OFFSET(CÁLCULO!$AA$15:$AA$59,0,W$13))),2),0)</f>
        <v>0</v>
      </c>
      <c r="X52" s="265" t="n">
        <f aca="true" t="array" ref="X52:X52">IF(AUTOEVENTO="Manual",ROUND(SUMPRODUCT((CÁLCULO!$M$15:$M$59=EVENTOS!$C52)*(OFFSET(CÁLCULO!$AA$15:$AA$59,0,X$13))),2),0)</f>
        <v>0</v>
      </c>
      <c r="Y52" s="265" t="n">
        <f aca="true" t="array" ref="Y52:Y52">IF(AUTOEVENTO="Manual",ROUND(SUMPRODUCT((CÁLCULO!$M$15:$M$59=EVENTOS!$C52)*(OFFSET(CÁLCULO!$AA$15:$AA$59,0,Y$13))),2),0)</f>
        <v>0</v>
      </c>
    </row>
    <row r="53" customFormat="false" ht="12.75" hidden="false" customHeight="false" outlineLevel="0" collapsed="false">
      <c r="A53" s="178" t="str">
        <f aca="false">IF(D53="","","F")</f>
        <v/>
      </c>
      <c r="B53" s="0" t="str">
        <f aca="false">IF(OR(C53=" ",D53=""),"",CONCATENATE(C53,". ",D53))</f>
        <v/>
      </c>
      <c r="C53" s="263" t="str">
        <f aca="true" t="array" ref="C53:C53">IF(OR(ROW(C53)=ROW(EVENTOS.firstrow)+1,AND(OFFSET(C53,-1,0)&lt;&gt;" ",OFFSET(C53,-1,1)&lt;&gt;"")),OFFSET(C53,-1,0)+1," ")</f>
        <v> </v>
      </c>
      <c r="D53" s="264"/>
      <c r="E53" s="265" t="n">
        <f aca="true" t="array" ref="E53:E53">IF(AUTOEVENTO="Manual",ROUND(SUMPRODUCT((CÁLCULO!$M$15:$M$59=EVENTOS!$C53)*(OFFSET(CÁLCULO!$AA$15:$AA$59,0,E$13))),2),0)</f>
        <v>0</v>
      </c>
      <c r="F53" s="266" t="n">
        <f aca="true">IF(AUTOEVENTO="Manual",ROUND(SUMPRODUCT((CÁLCULO!$M$15:$M$59=EVENTOS!$C53)*(OFFSET(CÁLCULO!$AA$15,0,1):OFFSET(CÁLCULO!$AL$59,0,-1))),2),0)</f>
        <v>0</v>
      </c>
      <c r="G53" s="267" t="str">
        <f aca="false">IF(AND(D53=0,F53&gt;0),"NOME",
 IF(AND(D53&lt;&gt;0,$F$14&gt;0,F53=0),"VALOR",
 IF(AND(Import.TipoArredondamento="TransfereGOV",$A53="F",LEN(D53)&gt;100),"Nome &gt;100","")))</f>
        <v/>
      </c>
      <c r="H53" s="265" t="n">
        <f aca="true" t="array" ref="H53:H53">IF(AUTOEVENTO="Manual",ROUND(SUMPRODUCT((CÁLCULO!$M$15:$M$59=EVENTOS!$C53)*(OFFSET(CÁLCULO!$AA$15:$AA$59,0,H$13))),2),0)</f>
        <v>0</v>
      </c>
      <c r="I53" s="265" t="n">
        <f aca="true" t="array" ref="I53:I53">IF(AUTOEVENTO="Manual",ROUND(SUMPRODUCT((CÁLCULO!$M$15:$M$59=EVENTOS!$C53)*(OFFSET(CÁLCULO!$AA$15:$AA$59,0,I$13))),2),0)</f>
        <v>0</v>
      </c>
      <c r="J53" s="265" t="n">
        <f aca="true" t="array" ref="J53:J53">IF(AUTOEVENTO="Manual",ROUND(SUMPRODUCT((CÁLCULO!$M$15:$M$59=EVENTOS!$C53)*(OFFSET(CÁLCULO!$AA$15:$AA$59,0,J$13))),2),0)</f>
        <v>0</v>
      </c>
      <c r="K53" s="265" t="n">
        <f aca="true" t="array" ref="K53:K53">IF(AUTOEVENTO="Manual",ROUND(SUMPRODUCT((CÁLCULO!$M$15:$M$59=EVENTOS!$C53)*(OFFSET(CÁLCULO!$AA$15:$AA$59,0,K$13))),2),0)</f>
        <v>0</v>
      </c>
      <c r="L53" s="265" t="n">
        <f aca="true" t="array" ref="L53:L53">IF(AUTOEVENTO="Manual",ROUND(SUMPRODUCT((CÁLCULO!$M$15:$M$59=EVENTOS!$C53)*(OFFSET(CÁLCULO!$AA$15:$AA$59,0,L$13))),2),0)</f>
        <v>0</v>
      </c>
      <c r="M53" s="265" t="n">
        <f aca="true" t="array" ref="M53:M53">IF(AUTOEVENTO="Manual",ROUND(SUMPRODUCT((CÁLCULO!$M$15:$M$59=EVENTOS!$C53)*(OFFSET(CÁLCULO!$AA$15:$AA$59,0,M$13))),2),0)</f>
        <v>0</v>
      </c>
      <c r="N53" s="265" t="n">
        <f aca="true" t="array" ref="N53:N53">IF(AUTOEVENTO="Manual",ROUND(SUMPRODUCT((CÁLCULO!$M$15:$M$59=EVENTOS!$C53)*(OFFSET(CÁLCULO!$AA$15:$AA$59,0,N$13))),2),0)</f>
        <v>0</v>
      </c>
      <c r="O53" s="265" t="n">
        <f aca="true" t="array" ref="O53:O53">IF(AUTOEVENTO="Manual",ROUND(SUMPRODUCT((CÁLCULO!$M$15:$M$59=EVENTOS!$C53)*(OFFSET(CÁLCULO!$AA$15:$AA$59,0,O$13))),2),0)</f>
        <v>0</v>
      </c>
      <c r="P53" s="265" t="n">
        <f aca="true" t="array" ref="P53:P53">IF(AUTOEVENTO="Manual",ROUND(SUMPRODUCT((CÁLCULO!$M$15:$M$59=EVENTOS!$C53)*(OFFSET(CÁLCULO!$AA$15:$AA$59,0,P$13))),2),0)</f>
        <v>0</v>
      </c>
      <c r="Q53" s="265" t="n">
        <f aca="true" t="array" ref="Q53:Q53">IF(AUTOEVENTO="Manual",ROUND(SUMPRODUCT((CÁLCULO!$M$15:$M$59=EVENTOS!$C53)*(OFFSET(CÁLCULO!$AA$15:$AA$59,0,Q$13))),2),0)</f>
        <v>0</v>
      </c>
      <c r="R53" s="265" t="n">
        <f aca="true" t="array" ref="R53:R53">IF(AUTOEVENTO="Manual",ROUND(SUMPRODUCT((CÁLCULO!$M$15:$M$59=EVENTOS!$C53)*(OFFSET(CÁLCULO!$AA$15:$AA$59,0,R$13))),2),0)</f>
        <v>0</v>
      </c>
      <c r="S53" s="265" t="n">
        <f aca="true" t="array" ref="S53:S53">IF(AUTOEVENTO="Manual",ROUND(SUMPRODUCT((CÁLCULO!$M$15:$M$59=EVENTOS!$C53)*(OFFSET(CÁLCULO!$AA$15:$AA$59,0,S$13))),2),0)</f>
        <v>0</v>
      </c>
      <c r="T53" s="265" t="n">
        <f aca="true" t="array" ref="T53:T53">IF(AUTOEVENTO="Manual",ROUND(SUMPRODUCT((CÁLCULO!$M$15:$M$59=EVENTOS!$C53)*(OFFSET(CÁLCULO!$AA$15:$AA$59,0,T$13))),2),0)</f>
        <v>0</v>
      </c>
      <c r="U53" s="265" t="n">
        <f aca="true" t="array" ref="U53:U53">IF(AUTOEVENTO="Manual",ROUND(SUMPRODUCT((CÁLCULO!$M$15:$M$59=EVENTOS!$C53)*(OFFSET(CÁLCULO!$AA$15:$AA$59,0,U$13))),2),0)</f>
        <v>0</v>
      </c>
      <c r="V53" s="265" t="n">
        <f aca="true" t="array" ref="V53:V53">IF(AUTOEVENTO="Manual",ROUND(SUMPRODUCT((CÁLCULO!$M$15:$M$59=EVENTOS!$C53)*(OFFSET(CÁLCULO!$AA$15:$AA$59,0,V$13))),2),0)</f>
        <v>0</v>
      </c>
      <c r="W53" s="265" t="n">
        <f aca="true" t="array" ref="W53:W53">IF(AUTOEVENTO="Manual",ROUND(SUMPRODUCT((CÁLCULO!$M$15:$M$59=EVENTOS!$C53)*(OFFSET(CÁLCULO!$AA$15:$AA$59,0,W$13))),2),0)</f>
        <v>0</v>
      </c>
      <c r="X53" s="265" t="n">
        <f aca="true" t="array" ref="X53:X53">IF(AUTOEVENTO="Manual",ROUND(SUMPRODUCT((CÁLCULO!$M$15:$M$59=EVENTOS!$C53)*(OFFSET(CÁLCULO!$AA$15:$AA$59,0,X$13))),2),0)</f>
        <v>0</v>
      </c>
      <c r="Y53" s="265" t="n">
        <f aca="true" t="array" ref="Y53:Y53">IF(AUTOEVENTO="Manual",ROUND(SUMPRODUCT((CÁLCULO!$M$15:$M$59=EVENTOS!$C53)*(OFFSET(CÁLCULO!$AA$15:$AA$59,0,Y$13))),2),0)</f>
        <v>0</v>
      </c>
    </row>
    <row r="54" customFormat="false" ht="12.75" hidden="false" customHeight="false" outlineLevel="0" collapsed="false">
      <c r="A54" s="178" t="str">
        <f aca="false">IF(D54="","","F")</f>
        <v/>
      </c>
      <c r="B54" s="0" t="str">
        <f aca="false">IF(OR(C54=" ",D54=""),"",CONCATENATE(C54,". ",D54))</f>
        <v/>
      </c>
      <c r="C54" s="263" t="str">
        <f aca="true" t="array" ref="C54:C54">IF(OR(ROW(C54)=ROW(EVENTOS.firstrow)+1,AND(OFFSET(C54,-1,0)&lt;&gt;" ",OFFSET(C54,-1,1)&lt;&gt;"")),OFFSET(C54,-1,0)+1," ")</f>
        <v> </v>
      </c>
      <c r="D54" s="264"/>
      <c r="E54" s="265" t="n">
        <f aca="true" t="array" ref="E54:E54">IF(AUTOEVENTO="Manual",ROUND(SUMPRODUCT((CÁLCULO!$M$15:$M$59=EVENTOS!$C54)*(OFFSET(CÁLCULO!$AA$15:$AA$59,0,E$13))),2),0)</f>
        <v>0</v>
      </c>
      <c r="F54" s="266" t="n">
        <f aca="true">IF(AUTOEVENTO="Manual",ROUND(SUMPRODUCT((CÁLCULO!$M$15:$M$59=EVENTOS!$C54)*(OFFSET(CÁLCULO!$AA$15,0,1):OFFSET(CÁLCULO!$AL$59,0,-1))),2),0)</f>
        <v>0</v>
      </c>
      <c r="G54" s="267" t="str">
        <f aca="false">IF(AND(D54=0,F54&gt;0),"NOME",
 IF(AND(D54&lt;&gt;0,$F$14&gt;0,F54=0),"VALOR",
 IF(AND(Import.TipoArredondamento="TransfereGOV",$A54="F",LEN(D54)&gt;100),"Nome &gt;100","")))</f>
        <v/>
      </c>
      <c r="H54" s="265" t="n">
        <f aca="true" t="array" ref="H54:H54">IF(AUTOEVENTO="Manual",ROUND(SUMPRODUCT((CÁLCULO!$M$15:$M$59=EVENTOS!$C54)*(OFFSET(CÁLCULO!$AA$15:$AA$59,0,H$13))),2),0)</f>
        <v>0</v>
      </c>
      <c r="I54" s="265" t="n">
        <f aca="true" t="array" ref="I54:I54">IF(AUTOEVENTO="Manual",ROUND(SUMPRODUCT((CÁLCULO!$M$15:$M$59=EVENTOS!$C54)*(OFFSET(CÁLCULO!$AA$15:$AA$59,0,I$13))),2),0)</f>
        <v>0</v>
      </c>
      <c r="J54" s="265" t="n">
        <f aca="true" t="array" ref="J54:J54">IF(AUTOEVENTO="Manual",ROUND(SUMPRODUCT((CÁLCULO!$M$15:$M$59=EVENTOS!$C54)*(OFFSET(CÁLCULO!$AA$15:$AA$59,0,J$13))),2),0)</f>
        <v>0</v>
      </c>
      <c r="K54" s="265" t="n">
        <f aca="true" t="array" ref="K54:K54">IF(AUTOEVENTO="Manual",ROUND(SUMPRODUCT((CÁLCULO!$M$15:$M$59=EVENTOS!$C54)*(OFFSET(CÁLCULO!$AA$15:$AA$59,0,K$13))),2),0)</f>
        <v>0</v>
      </c>
      <c r="L54" s="265" t="n">
        <f aca="true" t="array" ref="L54:L54">IF(AUTOEVENTO="Manual",ROUND(SUMPRODUCT((CÁLCULO!$M$15:$M$59=EVENTOS!$C54)*(OFFSET(CÁLCULO!$AA$15:$AA$59,0,L$13))),2),0)</f>
        <v>0</v>
      </c>
      <c r="M54" s="265" t="n">
        <f aca="true" t="array" ref="M54:M54">IF(AUTOEVENTO="Manual",ROUND(SUMPRODUCT((CÁLCULO!$M$15:$M$59=EVENTOS!$C54)*(OFFSET(CÁLCULO!$AA$15:$AA$59,0,M$13))),2),0)</f>
        <v>0</v>
      </c>
      <c r="N54" s="265" t="n">
        <f aca="true" t="array" ref="N54:N54">IF(AUTOEVENTO="Manual",ROUND(SUMPRODUCT((CÁLCULO!$M$15:$M$59=EVENTOS!$C54)*(OFFSET(CÁLCULO!$AA$15:$AA$59,0,N$13))),2),0)</f>
        <v>0</v>
      </c>
      <c r="O54" s="265" t="n">
        <f aca="true" t="array" ref="O54:O54">IF(AUTOEVENTO="Manual",ROUND(SUMPRODUCT((CÁLCULO!$M$15:$M$59=EVENTOS!$C54)*(OFFSET(CÁLCULO!$AA$15:$AA$59,0,O$13))),2),0)</f>
        <v>0</v>
      </c>
      <c r="P54" s="265" t="n">
        <f aca="true" t="array" ref="P54:P54">IF(AUTOEVENTO="Manual",ROUND(SUMPRODUCT((CÁLCULO!$M$15:$M$59=EVENTOS!$C54)*(OFFSET(CÁLCULO!$AA$15:$AA$59,0,P$13))),2),0)</f>
        <v>0</v>
      </c>
      <c r="Q54" s="265" t="n">
        <f aca="true" t="array" ref="Q54:Q54">IF(AUTOEVENTO="Manual",ROUND(SUMPRODUCT((CÁLCULO!$M$15:$M$59=EVENTOS!$C54)*(OFFSET(CÁLCULO!$AA$15:$AA$59,0,Q$13))),2),0)</f>
        <v>0</v>
      </c>
      <c r="R54" s="265" t="n">
        <f aca="true" t="array" ref="R54:R54">IF(AUTOEVENTO="Manual",ROUND(SUMPRODUCT((CÁLCULO!$M$15:$M$59=EVENTOS!$C54)*(OFFSET(CÁLCULO!$AA$15:$AA$59,0,R$13))),2),0)</f>
        <v>0</v>
      </c>
      <c r="S54" s="265" t="n">
        <f aca="true" t="array" ref="S54:S54">IF(AUTOEVENTO="Manual",ROUND(SUMPRODUCT((CÁLCULO!$M$15:$M$59=EVENTOS!$C54)*(OFFSET(CÁLCULO!$AA$15:$AA$59,0,S$13))),2),0)</f>
        <v>0</v>
      </c>
      <c r="T54" s="265" t="n">
        <f aca="true" t="array" ref="T54:T54">IF(AUTOEVENTO="Manual",ROUND(SUMPRODUCT((CÁLCULO!$M$15:$M$59=EVENTOS!$C54)*(OFFSET(CÁLCULO!$AA$15:$AA$59,0,T$13))),2),0)</f>
        <v>0</v>
      </c>
      <c r="U54" s="265" t="n">
        <f aca="true" t="array" ref="U54:U54">IF(AUTOEVENTO="Manual",ROUND(SUMPRODUCT((CÁLCULO!$M$15:$M$59=EVENTOS!$C54)*(OFFSET(CÁLCULO!$AA$15:$AA$59,0,U$13))),2),0)</f>
        <v>0</v>
      </c>
      <c r="V54" s="265" t="n">
        <f aca="true" t="array" ref="V54:V54">IF(AUTOEVENTO="Manual",ROUND(SUMPRODUCT((CÁLCULO!$M$15:$M$59=EVENTOS!$C54)*(OFFSET(CÁLCULO!$AA$15:$AA$59,0,V$13))),2),0)</f>
        <v>0</v>
      </c>
      <c r="W54" s="265" t="n">
        <f aca="true" t="array" ref="W54:W54">IF(AUTOEVENTO="Manual",ROUND(SUMPRODUCT((CÁLCULO!$M$15:$M$59=EVENTOS!$C54)*(OFFSET(CÁLCULO!$AA$15:$AA$59,0,W$13))),2),0)</f>
        <v>0</v>
      </c>
      <c r="X54" s="265" t="n">
        <f aca="true" t="array" ref="X54:X54">IF(AUTOEVENTO="Manual",ROUND(SUMPRODUCT((CÁLCULO!$M$15:$M$59=EVENTOS!$C54)*(OFFSET(CÁLCULO!$AA$15:$AA$59,0,X$13))),2),0)</f>
        <v>0</v>
      </c>
      <c r="Y54" s="265" t="n">
        <f aca="true" t="array" ref="Y54:Y54">IF(AUTOEVENTO="Manual",ROUND(SUMPRODUCT((CÁLCULO!$M$15:$M$59=EVENTOS!$C54)*(OFFSET(CÁLCULO!$AA$15:$AA$59,0,Y$13))),2),0)</f>
        <v>0</v>
      </c>
    </row>
    <row r="55" customFormat="false" ht="12.75" hidden="false" customHeight="false" outlineLevel="0" collapsed="false">
      <c r="A55" s="178" t="str">
        <f aca="false">IF(D55="","","F")</f>
        <v/>
      </c>
      <c r="B55" s="0" t="str">
        <f aca="false">IF(OR(C55=" ",D55=""),"",CONCATENATE(C55,". ",D55))</f>
        <v/>
      </c>
      <c r="C55" s="263" t="str">
        <f aca="true" t="array" ref="C55:C55">IF(OR(ROW(C55)=ROW(EVENTOS.firstrow)+1,AND(OFFSET(C55,-1,0)&lt;&gt;" ",OFFSET(C55,-1,1)&lt;&gt;"")),OFFSET(C55,-1,0)+1," ")</f>
        <v> </v>
      </c>
      <c r="D55" s="264"/>
      <c r="E55" s="265" t="n">
        <f aca="true" t="array" ref="E55:E55">IF(AUTOEVENTO="Manual",ROUND(SUMPRODUCT((CÁLCULO!$M$15:$M$59=EVENTOS!$C55)*(OFFSET(CÁLCULO!$AA$15:$AA$59,0,E$13))),2),0)</f>
        <v>0</v>
      </c>
      <c r="F55" s="266" t="n">
        <f aca="true">IF(AUTOEVENTO="Manual",ROUND(SUMPRODUCT((CÁLCULO!$M$15:$M$59=EVENTOS!$C55)*(OFFSET(CÁLCULO!$AA$15,0,1):OFFSET(CÁLCULO!$AL$59,0,-1))),2),0)</f>
        <v>0</v>
      </c>
      <c r="G55" s="267" t="str">
        <f aca="false">IF(AND(D55=0,F55&gt;0),"NOME",
 IF(AND(D55&lt;&gt;0,$F$14&gt;0,F55=0),"VALOR",
 IF(AND(Import.TipoArredondamento="TransfereGOV",$A55="F",LEN(D55)&gt;100),"Nome &gt;100","")))</f>
        <v/>
      </c>
      <c r="H55" s="265" t="n">
        <f aca="true" t="array" ref="H55:H55">IF(AUTOEVENTO="Manual",ROUND(SUMPRODUCT((CÁLCULO!$M$15:$M$59=EVENTOS!$C55)*(OFFSET(CÁLCULO!$AA$15:$AA$59,0,H$13))),2),0)</f>
        <v>0</v>
      </c>
      <c r="I55" s="265" t="n">
        <f aca="true" t="array" ref="I55:I55">IF(AUTOEVENTO="Manual",ROUND(SUMPRODUCT((CÁLCULO!$M$15:$M$59=EVENTOS!$C55)*(OFFSET(CÁLCULO!$AA$15:$AA$59,0,I$13))),2),0)</f>
        <v>0</v>
      </c>
      <c r="J55" s="265" t="n">
        <f aca="true" t="array" ref="J55:J55">IF(AUTOEVENTO="Manual",ROUND(SUMPRODUCT((CÁLCULO!$M$15:$M$59=EVENTOS!$C55)*(OFFSET(CÁLCULO!$AA$15:$AA$59,0,J$13))),2),0)</f>
        <v>0</v>
      </c>
      <c r="K55" s="265" t="n">
        <f aca="true" t="array" ref="K55:K55">IF(AUTOEVENTO="Manual",ROUND(SUMPRODUCT((CÁLCULO!$M$15:$M$59=EVENTOS!$C55)*(OFFSET(CÁLCULO!$AA$15:$AA$59,0,K$13))),2),0)</f>
        <v>0</v>
      </c>
      <c r="L55" s="265" t="n">
        <f aca="true" t="array" ref="L55:L55">IF(AUTOEVENTO="Manual",ROUND(SUMPRODUCT((CÁLCULO!$M$15:$M$59=EVENTOS!$C55)*(OFFSET(CÁLCULO!$AA$15:$AA$59,0,L$13))),2),0)</f>
        <v>0</v>
      </c>
      <c r="M55" s="265" t="n">
        <f aca="true" t="array" ref="M55:M55">IF(AUTOEVENTO="Manual",ROUND(SUMPRODUCT((CÁLCULO!$M$15:$M$59=EVENTOS!$C55)*(OFFSET(CÁLCULO!$AA$15:$AA$59,0,M$13))),2),0)</f>
        <v>0</v>
      </c>
      <c r="N55" s="265" t="n">
        <f aca="true" t="array" ref="N55:N55">IF(AUTOEVENTO="Manual",ROUND(SUMPRODUCT((CÁLCULO!$M$15:$M$59=EVENTOS!$C55)*(OFFSET(CÁLCULO!$AA$15:$AA$59,0,N$13))),2),0)</f>
        <v>0</v>
      </c>
      <c r="O55" s="265" t="n">
        <f aca="true" t="array" ref="O55:O55">IF(AUTOEVENTO="Manual",ROUND(SUMPRODUCT((CÁLCULO!$M$15:$M$59=EVENTOS!$C55)*(OFFSET(CÁLCULO!$AA$15:$AA$59,0,O$13))),2),0)</f>
        <v>0</v>
      </c>
      <c r="P55" s="265" t="n">
        <f aca="true" t="array" ref="P55:P55">IF(AUTOEVENTO="Manual",ROUND(SUMPRODUCT((CÁLCULO!$M$15:$M$59=EVENTOS!$C55)*(OFFSET(CÁLCULO!$AA$15:$AA$59,0,P$13))),2),0)</f>
        <v>0</v>
      </c>
      <c r="Q55" s="265" t="n">
        <f aca="true" t="array" ref="Q55:Q55">IF(AUTOEVENTO="Manual",ROUND(SUMPRODUCT((CÁLCULO!$M$15:$M$59=EVENTOS!$C55)*(OFFSET(CÁLCULO!$AA$15:$AA$59,0,Q$13))),2),0)</f>
        <v>0</v>
      </c>
      <c r="R55" s="265" t="n">
        <f aca="true" t="array" ref="R55:R55">IF(AUTOEVENTO="Manual",ROUND(SUMPRODUCT((CÁLCULO!$M$15:$M$59=EVENTOS!$C55)*(OFFSET(CÁLCULO!$AA$15:$AA$59,0,R$13))),2),0)</f>
        <v>0</v>
      </c>
      <c r="S55" s="265" t="n">
        <f aca="true" t="array" ref="S55:S55">IF(AUTOEVENTO="Manual",ROUND(SUMPRODUCT((CÁLCULO!$M$15:$M$59=EVENTOS!$C55)*(OFFSET(CÁLCULO!$AA$15:$AA$59,0,S$13))),2),0)</f>
        <v>0</v>
      </c>
      <c r="T55" s="265" t="n">
        <f aca="true" t="array" ref="T55:T55">IF(AUTOEVENTO="Manual",ROUND(SUMPRODUCT((CÁLCULO!$M$15:$M$59=EVENTOS!$C55)*(OFFSET(CÁLCULO!$AA$15:$AA$59,0,T$13))),2),0)</f>
        <v>0</v>
      </c>
      <c r="U55" s="265" t="n">
        <f aca="true" t="array" ref="U55:U55">IF(AUTOEVENTO="Manual",ROUND(SUMPRODUCT((CÁLCULO!$M$15:$M$59=EVENTOS!$C55)*(OFFSET(CÁLCULO!$AA$15:$AA$59,0,U$13))),2),0)</f>
        <v>0</v>
      </c>
      <c r="V55" s="265" t="n">
        <f aca="true" t="array" ref="V55:V55">IF(AUTOEVENTO="Manual",ROUND(SUMPRODUCT((CÁLCULO!$M$15:$M$59=EVENTOS!$C55)*(OFFSET(CÁLCULO!$AA$15:$AA$59,0,V$13))),2),0)</f>
        <v>0</v>
      </c>
      <c r="W55" s="265" t="n">
        <f aca="true" t="array" ref="W55:W55">IF(AUTOEVENTO="Manual",ROUND(SUMPRODUCT((CÁLCULO!$M$15:$M$59=EVENTOS!$C55)*(OFFSET(CÁLCULO!$AA$15:$AA$59,0,W$13))),2),0)</f>
        <v>0</v>
      </c>
      <c r="X55" s="265" t="n">
        <f aca="true" t="array" ref="X55:X55">IF(AUTOEVENTO="Manual",ROUND(SUMPRODUCT((CÁLCULO!$M$15:$M$59=EVENTOS!$C55)*(OFFSET(CÁLCULO!$AA$15:$AA$59,0,X$13))),2),0)</f>
        <v>0</v>
      </c>
      <c r="Y55" s="265" t="n">
        <f aca="true" t="array" ref="Y55:Y55">IF(AUTOEVENTO="Manual",ROUND(SUMPRODUCT((CÁLCULO!$M$15:$M$59=EVENTOS!$C55)*(OFFSET(CÁLCULO!$AA$15:$AA$59,0,Y$13))),2),0)</f>
        <v>0</v>
      </c>
    </row>
    <row r="56" customFormat="false" ht="12.75" hidden="false" customHeight="false" outlineLevel="0" collapsed="false">
      <c r="A56" s="178" t="str">
        <f aca="false">IF(D56="","","F")</f>
        <v/>
      </c>
      <c r="B56" s="0" t="str">
        <f aca="false">IF(OR(C56=" ",D56=""),"",CONCATENATE(C56,". ",D56))</f>
        <v/>
      </c>
      <c r="C56" s="263" t="str">
        <f aca="true" t="array" ref="C56:C56">IF(OR(ROW(C56)=ROW(EVENTOS.firstrow)+1,AND(OFFSET(C56,-1,0)&lt;&gt;" ",OFFSET(C56,-1,1)&lt;&gt;"")),OFFSET(C56,-1,0)+1," ")</f>
        <v> </v>
      </c>
      <c r="D56" s="264"/>
      <c r="E56" s="265" t="n">
        <f aca="true" t="array" ref="E56:E56">IF(AUTOEVENTO="Manual",ROUND(SUMPRODUCT((CÁLCULO!$M$15:$M$59=EVENTOS!$C56)*(OFFSET(CÁLCULO!$AA$15:$AA$59,0,E$13))),2),0)</f>
        <v>0</v>
      </c>
      <c r="F56" s="266" t="n">
        <f aca="true">IF(AUTOEVENTO="Manual",ROUND(SUMPRODUCT((CÁLCULO!$M$15:$M$59=EVENTOS!$C56)*(OFFSET(CÁLCULO!$AA$15,0,1):OFFSET(CÁLCULO!$AL$59,0,-1))),2),0)</f>
        <v>0</v>
      </c>
      <c r="G56" s="267" t="str">
        <f aca="false">IF(AND(D56=0,F56&gt;0),"NOME",
 IF(AND(D56&lt;&gt;0,$F$14&gt;0,F56=0),"VALOR",
 IF(AND(Import.TipoArredondamento="TransfereGOV",$A56="F",LEN(D56)&gt;100),"Nome &gt;100","")))</f>
        <v/>
      </c>
      <c r="H56" s="265" t="n">
        <f aca="true" t="array" ref="H56:H56">IF(AUTOEVENTO="Manual",ROUND(SUMPRODUCT((CÁLCULO!$M$15:$M$59=EVENTOS!$C56)*(OFFSET(CÁLCULO!$AA$15:$AA$59,0,H$13))),2),0)</f>
        <v>0</v>
      </c>
      <c r="I56" s="265" t="n">
        <f aca="true" t="array" ref="I56:I56">IF(AUTOEVENTO="Manual",ROUND(SUMPRODUCT((CÁLCULO!$M$15:$M$59=EVENTOS!$C56)*(OFFSET(CÁLCULO!$AA$15:$AA$59,0,I$13))),2),0)</f>
        <v>0</v>
      </c>
      <c r="J56" s="265" t="n">
        <f aca="true" t="array" ref="J56:J56">IF(AUTOEVENTO="Manual",ROUND(SUMPRODUCT((CÁLCULO!$M$15:$M$59=EVENTOS!$C56)*(OFFSET(CÁLCULO!$AA$15:$AA$59,0,J$13))),2),0)</f>
        <v>0</v>
      </c>
      <c r="K56" s="265" t="n">
        <f aca="true" t="array" ref="K56:K56">IF(AUTOEVENTO="Manual",ROUND(SUMPRODUCT((CÁLCULO!$M$15:$M$59=EVENTOS!$C56)*(OFFSET(CÁLCULO!$AA$15:$AA$59,0,K$13))),2),0)</f>
        <v>0</v>
      </c>
      <c r="L56" s="265" t="n">
        <f aca="true" t="array" ref="L56:L56">IF(AUTOEVENTO="Manual",ROUND(SUMPRODUCT((CÁLCULO!$M$15:$M$59=EVENTOS!$C56)*(OFFSET(CÁLCULO!$AA$15:$AA$59,0,L$13))),2),0)</f>
        <v>0</v>
      </c>
      <c r="M56" s="265" t="n">
        <f aca="true" t="array" ref="M56:M56">IF(AUTOEVENTO="Manual",ROUND(SUMPRODUCT((CÁLCULO!$M$15:$M$59=EVENTOS!$C56)*(OFFSET(CÁLCULO!$AA$15:$AA$59,0,M$13))),2),0)</f>
        <v>0</v>
      </c>
      <c r="N56" s="265" t="n">
        <f aca="true" t="array" ref="N56:N56">IF(AUTOEVENTO="Manual",ROUND(SUMPRODUCT((CÁLCULO!$M$15:$M$59=EVENTOS!$C56)*(OFFSET(CÁLCULO!$AA$15:$AA$59,0,N$13))),2),0)</f>
        <v>0</v>
      </c>
      <c r="O56" s="265" t="n">
        <f aca="true" t="array" ref="O56:O56">IF(AUTOEVENTO="Manual",ROUND(SUMPRODUCT((CÁLCULO!$M$15:$M$59=EVENTOS!$C56)*(OFFSET(CÁLCULO!$AA$15:$AA$59,0,O$13))),2),0)</f>
        <v>0</v>
      </c>
      <c r="P56" s="265" t="n">
        <f aca="true" t="array" ref="P56:P56">IF(AUTOEVENTO="Manual",ROUND(SUMPRODUCT((CÁLCULO!$M$15:$M$59=EVENTOS!$C56)*(OFFSET(CÁLCULO!$AA$15:$AA$59,0,P$13))),2),0)</f>
        <v>0</v>
      </c>
      <c r="Q56" s="265" t="n">
        <f aca="true" t="array" ref="Q56:Q56">IF(AUTOEVENTO="Manual",ROUND(SUMPRODUCT((CÁLCULO!$M$15:$M$59=EVENTOS!$C56)*(OFFSET(CÁLCULO!$AA$15:$AA$59,0,Q$13))),2),0)</f>
        <v>0</v>
      </c>
      <c r="R56" s="265" t="n">
        <f aca="true" t="array" ref="R56:R56">IF(AUTOEVENTO="Manual",ROUND(SUMPRODUCT((CÁLCULO!$M$15:$M$59=EVENTOS!$C56)*(OFFSET(CÁLCULO!$AA$15:$AA$59,0,R$13))),2),0)</f>
        <v>0</v>
      </c>
      <c r="S56" s="265" t="n">
        <f aca="true" t="array" ref="S56:S56">IF(AUTOEVENTO="Manual",ROUND(SUMPRODUCT((CÁLCULO!$M$15:$M$59=EVENTOS!$C56)*(OFFSET(CÁLCULO!$AA$15:$AA$59,0,S$13))),2),0)</f>
        <v>0</v>
      </c>
      <c r="T56" s="265" t="n">
        <f aca="true" t="array" ref="T56:T56">IF(AUTOEVENTO="Manual",ROUND(SUMPRODUCT((CÁLCULO!$M$15:$M$59=EVENTOS!$C56)*(OFFSET(CÁLCULO!$AA$15:$AA$59,0,T$13))),2),0)</f>
        <v>0</v>
      </c>
      <c r="U56" s="265" t="n">
        <f aca="true" t="array" ref="U56:U56">IF(AUTOEVENTO="Manual",ROUND(SUMPRODUCT((CÁLCULO!$M$15:$M$59=EVENTOS!$C56)*(OFFSET(CÁLCULO!$AA$15:$AA$59,0,U$13))),2),0)</f>
        <v>0</v>
      </c>
      <c r="V56" s="265" t="n">
        <f aca="true" t="array" ref="V56:V56">IF(AUTOEVENTO="Manual",ROUND(SUMPRODUCT((CÁLCULO!$M$15:$M$59=EVENTOS!$C56)*(OFFSET(CÁLCULO!$AA$15:$AA$59,0,V$13))),2),0)</f>
        <v>0</v>
      </c>
      <c r="W56" s="265" t="n">
        <f aca="true" t="array" ref="W56:W56">IF(AUTOEVENTO="Manual",ROUND(SUMPRODUCT((CÁLCULO!$M$15:$M$59=EVENTOS!$C56)*(OFFSET(CÁLCULO!$AA$15:$AA$59,0,W$13))),2),0)</f>
        <v>0</v>
      </c>
      <c r="X56" s="265" t="n">
        <f aca="true" t="array" ref="X56:X56">IF(AUTOEVENTO="Manual",ROUND(SUMPRODUCT((CÁLCULO!$M$15:$M$59=EVENTOS!$C56)*(OFFSET(CÁLCULO!$AA$15:$AA$59,0,X$13))),2),0)</f>
        <v>0</v>
      </c>
      <c r="Y56" s="265" t="n">
        <f aca="true" t="array" ref="Y56:Y56">IF(AUTOEVENTO="Manual",ROUND(SUMPRODUCT((CÁLCULO!$M$15:$M$59=EVENTOS!$C56)*(OFFSET(CÁLCULO!$AA$15:$AA$59,0,Y$13))),2),0)</f>
        <v>0</v>
      </c>
    </row>
    <row r="57" customFormat="false" ht="12.75" hidden="false" customHeight="false" outlineLevel="0" collapsed="false">
      <c r="A57" s="178" t="str">
        <f aca="false">IF(D57="","","F")</f>
        <v/>
      </c>
      <c r="B57" s="0" t="str">
        <f aca="false">IF(OR(C57=" ",D57=""),"",CONCATENATE(C57,". ",D57))</f>
        <v/>
      </c>
      <c r="C57" s="263" t="str">
        <f aca="true" t="array" ref="C57:C57">IF(OR(ROW(C57)=ROW(EVENTOS.firstrow)+1,AND(OFFSET(C57,-1,0)&lt;&gt;" ",OFFSET(C57,-1,1)&lt;&gt;"")),OFFSET(C57,-1,0)+1," ")</f>
        <v> </v>
      </c>
      <c r="D57" s="264"/>
      <c r="E57" s="265" t="n">
        <f aca="true" t="array" ref="E57:E57">IF(AUTOEVENTO="Manual",ROUND(SUMPRODUCT((CÁLCULO!$M$15:$M$59=EVENTOS!$C57)*(OFFSET(CÁLCULO!$AA$15:$AA$59,0,E$13))),2),0)</f>
        <v>0</v>
      </c>
      <c r="F57" s="266" t="n">
        <f aca="true">IF(AUTOEVENTO="Manual",ROUND(SUMPRODUCT((CÁLCULO!$M$15:$M$59=EVENTOS!$C57)*(OFFSET(CÁLCULO!$AA$15,0,1):OFFSET(CÁLCULO!$AL$59,0,-1))),2),0)</f>
        <v>0</v>
      </c>
      <c r="G57" s="267" t="str">
        <f aca="false">IF(AND(D57=0,F57&gt;0),"NOME",
 IF(AND(D57&lt;&gt;0,$F$14&gt;0,F57=0),"VALOR",
 IF(AND(Import.TipoArredondamento="TransfereGOV",$A57="F",LEN(D57)&gt;100),"Nome &gt;100","")))</f>
        <v/>
      </c>
      <c r="H57" s="265" t="n">
        <f aca="true" t="array" ref="H57:H57">IF(AUTOEVENTO="Manual",ROUND(SUMPRODUCT((CÁLCULO!$M$15:$M$59=EVENTOS!$C57)*(OFFSET(CÁLCULO!$AA$15:$AA$59,0,H$13))),2),0)</f>
        <v>0</v>
      </c>
      <c r="I57" s="265" t="n">
        <f aca="true" t="array" ref="I57:I57">IF(AUTOEVENTO="Manual",ROUND(SUMPRODUCT((CÁLCULO!$M$15:$M$59=EVENTOS!$C57)*(OFFSET(CÁLCULO!$AA$15:$AA$59,0,I$13))),2),0)</f>
        <v>0</v>
      </c>
      <c r="J57" s="265" t="n">
        <f aca="true" t="array" ref="J57:J57">IF(AUTOEVENTO="Manual",ROUND(SUMPRODUCT((CÁLCULO!$M$15:$M$59=EVENTOS!$C57)*(OFFSET(CÁLCULO!$AA$15:$AA$59,0,J$13))),2),0)</f>
        <v>0</v>
      </c>
      <c r="K57" s="265" t="n">
        <f aca="true" t="array" ref="K57:K57">IF(AUTOEVENTO="Manual",ROUND(SUMPRODUCT((CÁLCULO!$M$15:$M$59=EVENTOS!$C57)*(OFFSET(CÁLCULO!$AA$15:$AA$59,0,K$13))),2),0)</f>
        <v>0</v>
      </c>
      <c r="L57" s="265" t="n">
        <f aca="true" t="array" ref="L57:L57">IF(AUTOEVENTO="Manual",ROUND(SUMPRODUCT((CÁLCULO!$M$15:$M$59=EVENTOS!$C57)*(OFFSET(CÁLCULO!$AA$15:$AA$59,0,L$13))),2),0)</f>
        <v>0</v>
      </c>
      <c r="M57" s="265" t="n">
        <f aca="true" t="array" ref="M57:M57">IF(AUTOEVENTO="Manual",ROUND(SUMPRODUCT((CÁLCULO!$M$15:$M$59=EVENTOS!$C57)*(OFFSET(CÁLCULO!$AA$15:$AA$59,0,M$13))),2),0)</f>
        <v>0</v>
      </c>
      <c r="N57" s="265" t="n">
        <f aca="true" t="array" ref="N57:N57">IF(AUTOEVENTO="Manual",ROUND(SUMPRODUCT((CÁLCULO!$M$15:$M$59=EVENTOS!$C57)*(OFFSET(CÁLCULO!$AA$15:$AA$59,0,N$13))),2),0)</f>
        <v>0</v>
      </c>
      <c r="O57" s="265" t="n">
        <f aca="true" t="array" ref="O57:O57">IF(AUTOEVENTO="Manual",ROUND(SUMPRODUCT((CÁLCULO!$M$15:$M$59=EVENTOS!$C57)*(OFFSET(CÁLCULO!$AA$15:$AA$59,0,O$13))),2),0)</f>
        <v>0</v>
      </c>
      <c r="P57" s="265" t="n">
        <f aca="true" t="array" ref="P57:P57">IF(AUTOEVENTO="Manual",ROUND(SUMPRODUCT((CÁLCULO!$M$15:$M$59=EVENTOS!$C57)*(OFFSET(CÁLCULO!$AA$15:$AA$59,0,P$13))),2),0)</f>
        <v>0</v>
      </c>
      <c r="Q57" s="265" t="n">
        <f aca="true" t="array" ref="Q57:Q57">IF(AUTOEVENTO="Manual",ROUND(SUMPRODUCT((CÁLCULO!$M$15:$M$59=EVENTOS!$C57)*(OFFSET(CÁLCULO!$AA$15:$AA$59,0,Q$13))),2),0)</f>
        <v>0</v>
      </c>
      <c r="R57" s="265" t="n">
        <f aca="true" t="array" ref="R57:R57">IF(AUTOEVENTO="Manual",ROUND(SUMPRODUCT((CÁLCULO!$M$15:$M$59=EVENTOS!$C57)*(OFFSET(CÁLCULO!$AA$15:$AA$59,0,R$13))),2),0)</f>
        <v>0</v>
      </c>
      <c r="S57" s="265" t="n">
        <f aca="true" t="array" ref="S57:S57">IF(AUTOEVENTO="Manual",ROUND(SUMPRODUCT((CÁLCULO!$M$15:$M$59=EVENTOS!$C57)*(OFFSET(CÁLCULO!$AA$15:$AA$59,0,S$13))),2),0)</f>
        <v>0</v>
      </c>
      <c r="T57" s="265" t="n">
        <f aca="true" t="array" ref="T57:T57">IF(AUTOEVENTO="Manual",ROUND(SUMPRODUCT((CÁLCULO!$M$15:$M$59=EVENTOS!$C57)*(OFFSET(CÁLCULO!$AA$15:$AA$59,0,T$13))),2),0)</f>
        <v>0</v>
      </c>
      <c r="U57" s="265" t="n">
        <f aca="true" t="array" ref="U57:U57">IF(AUTOEVENTO="Manual",ROUND(SUMPRODUCT((CÁLCULO!$M$15:$M$59=EVENTOS!$C57)*(OFFSET(CÁLCULO!$AA$15:$AA$59,0,U$13))),2),0)</f>
        <v>0</v>
      </c>
      <c r="V57" s="265" t="n">
        <f aca="true" t="array" ref="V57:V57">IF(AUTOEVENTO="Manual",ROUND(SUMPRODUCT((CÁLCULO!$M$15:$M$59=EVENTOS!$C57)*(OFFSET(CÁLCULO!$AA$15:$AA$59,0,V$13))),2),0)</f>
        <v>0</v>
      </c>
      <c r="W57" s="265" t="n">
        <f aca="true" t="array" ref="W57:W57">IF(AUTOEVENTO="Manual",ROUND(SUMPRODUCT((CÁLCULO!$M$15:$M$59=EVENTOS!$C57)*(OFFSET(CÁLCULO!$AA$15:$AA$59,0,W$13))),2),0)</f>
        <v>0</v>
      </c>
      <c r="X57" s="265" t="n">
        <f aca="true" t="array" ref="X57:X57">IF(AUTOEVENTO="Manual",ROUND(SUMPRODUCT((CÁLCULO!$M$15:$M$59=EVENTOS!$C57)*(OFFSET(CÁLCULO!$AA$15:$AA$59,0,X$13))),2),0)</f>
        <v>0</v>
      </c>
      <c r="Y57" s="265" t="n">
        <f aca="true" t="array" ref="Y57:Y57">IF(AUTOEVENTO="Manual",ROUND(SUMPRODUCT((CÁLCULO!$M$15:$M$59=EVENTOS!$C57)*(OFFSET(CÁLCULO!$AA$15:$AA$59,0,Y$13))),2),0)</f>
        <v>0</v>
      </c>
    </row>
    <row r="58" customFormat="false" ht="12.75" hidden="false" customHeight="false" outlineLevel="0" collapsed="false">
      <c r="A58" s="178" t="str">
        <f aca="false">IF(D58="","","F")</f>
        <v/>
      </c>
      <c r="B58" s="0" t="str">
        <f aca="false">IF(OR(C58=" ",D58=""),"",CONCATENATE(C58,". ",D58))</f>
        <v/>
      </c>
      <c r="C58" s="263" t="str">
        <f aca="true" t="array" ref="C58:C58">IF(OR(ROW(C58)=ROW(EVENTOS.firstrow)+1,AND(OFFSET(C58,-1,0)&lt;&gt;" ",OFFSET(C58,-1,1)&lt;&gt;"")),OFFSET(C58,-1,0)+1," ")</f>
        <v> </v>
      </c>
      <c r="D58" s="264"/>
      <c r="E58" s="265" t="n">
        <f aca="true" t="array" ref="E58:E58">IF(AUTOEVENTO="Manual",ROUND(SUMPRODUCT((CÁLCULO!$M$15:$M$59=EVENTOS!$C58)*(OFFSET(CÁLCULO!$AA$15:$AA$59,0,E$13))),2),0)</f>
        <v>0</v>
      </c>
      <c r="F58" s="266" t="n">
        <f aca="true">IF(AUTOEVENTO="Manual",ROUND(SUMPRODUCT((CÁLCULO!$M$15:$M$59=EVENTOS!$C58)*(OFFSET(CÁLCULO!$AA$15,0,1):OFFSET(CÁLCULO!$AL$59,0,-1))),2),0)</f>
        <v>0</v>
      </c>
      <c r="G58" s="267" t="str">
        <f aca="false">IF(AND(D58=0,F58&gt;0),"NOME",
 IF(AND(D58&lt;&gt;0,$F$14&gt;0,F58=0),"VALOR",
 IF(AND(Import.TipoArredondamento="TransfereGOV",$A58="F",LEN(D58)&gt;100),"Nome &gt;100","")))</f>
        <v/>
      </c>
      <c r="H58" s="265" t="n">
        <f aca="true" t="array" ref="H58:H58">IF(AUTOEVENTO="Manual",ROUND(SUMPRODUCT((CÁLCULO!$M$15:$M$59=EVENTOS!$C58)*(OFFSET(CÁLCULO!$AA$15:$AA$59,0,H$13))),2),0)</f>
        <v>0</v>
      </c>
      <c r="I58" s="265" t="n">
        <f aca="true" t="array" ref="I58:I58">IF(AUTOEVENTO="Manual",ROUND(SUMPRODUCT((CÁLCULO!$M$15:$M$59=EVENTOS!$C58)*(OFFSET(CÁLCULO!$AA$15:$AA$59,0,I$13))),2),0)</f>
        <v>0</v>
      </c>
      <c r="J58" s="265" t="n">
        <f aca="true" t="array" ref="J58:J58">IF(AUTOEVENTO="Manual",ROUND(SUMPRODUCT((CÁLCULO!$M$15:$M$59=EVENTOS!$C58)*(OFFSET(CÁLCULO!$AA$15:$AA$59,0,J$13))),2),0)</f>
        <v>0</v>
      </c>
      <c r="K58" s="265" t="n">
        <f aca="true" t="array" ref="K58:K58">IF(AUTOEVENTO="Manual",ROUND(SUMPRODUCT((CÁLCULO!$M$15:$M$59=EVENTOS!$C58)*(OFFSET(CÁLCULO!$AA$15:$AA$59,0,K$13))),2),0)</f>
        <v>0</v>
      </c>
      <c r="L58" s="265" t="n">
        <f aca="true" t="array" ref="L58:L58">IF(AUTOEVENTO="Manual",ROUND(SUMPRODUCT((CÁLCULO!$M$15:$M$59=EVENTOS!$C58)*(OFFSET(CÁLCULO!$AA$15:$AA$59,0,L$13))),2),0)</f>
        <v>0</v>
      </c>
      <c r="M58" s="265" t="n">
        <f aca="true" t="array" ref="M58:M58">IF(AUTOEVENTO="Manual",ROUND(SUMPRODUCT((CÁLCULO!$M$15:$M$59=EVENTOS!$C58)*(OFFSET(CÁLCULO!$AA$15:$AA$59,0,M$13))),2),0)</f>
        <v>0</v>
      </c>
      <c r="N58" s="265" t="n">
        <f aca="true" t="array" ref="N58:N58">IF(AUTOEVENTO="Manual",ROUND(SUMPRODUCT((CÁLCULO!$M$15:$M$59=EVENTOS!$C58)*(OFFSET(CÁLCULO!$AA$15:$AA$59,0,N$13))),2),0)</f>
        <v>0</v>
      </c>
      <c r="O58" s="265" t="n">
        <f aca="true" t="array" ref="O58:O58">IF(AUTOEVENTO="Manual",ROUND(SUMPRODUCT((CÁLCULO!$M$15:$M$59=EVENTOS!$C58)*(OFFSET(CÁLCULO!$AA$15:$AA$59,0,O$13))),2),0)</f>
        <v>0</v>
      </c>
      <c r="P58" s="265" t="n">
        <f aca="true" t="array" ref="P58:P58">IF(AUTOEVENTO="Manual",ROUND(SUMPRODUCT((CÁLCULO!$M$15:$M$59=EVENTOS!$C58)*(OFFSET(CÁLCULO!$AA$15:$AA$59,0,P$13))),2),0)</f>
        <v>0</v>
      </c>
      <c r="Q58" s="265" t="n">
        <f aca="true" t="array" ref="Q58:Q58">IF(AUTOEVENTO="Manual",ROUND(SUMPRODUCT((CÁLCULO!$M$15:$M$59=EVENTOS!$C58)*(OFFSET(CÁLCULO!$AA$15:$AA$59,0,Q$13))),2),0)</f>
        <v>0</v>
      </c>
      <c r="R58" s="265" t="n">
        <f aca="true" t="array" ref="R58:R58">IF(AUTOEVENTO="Manual",ROUND(SUMPRODUCT((CÁLCULO!$M$15:$M$59=EVENTOS!$C58)*(OFFSET(CÁLCULO!$AA$15:$AA$59,0,R$13))),2),0)</f>
        <v>0</v>
      </c>
      <c r="S58" s="265" t="n">
        <f aca="true" t="array" ref="S58:S58">IF(AUTOEVENTO="Manual",ROUND(SUMPRODUCT((CÁLCULO!$M$15:$M$59=EVENTOS!$C58)*(OFFSET(CÁLCULO!$AA$15:$AA$59,0,S$13))),2),0)</f>
        <v>0</v>
      </c>
      <c r="T58" s="265" t="n">
        <f aca="true" t="array" ref="T58:T58">IF(AUTOEVENTO="Manual",ROUND(SUMPRODUCT((CÁLCULO!$M$15:$M$59=EVENTOS!$C58)*(OFFSET(CÁLCULO!$AA$15:$AA$59,0,T$13))),2),0)</f>
        <v>0</v>
      </c>
      <c r="U58" s="265" t="n">
        <f aca="true" t="array" ref="U58:U58">IF(AUTOEVENTO="Manual",ROUND(SUMPRODUCT((CÁLCULO!$M$15:$M$59=EVENTOS!$C58)*(OFFSET(CÁLCULO!$AA$15:$AA$59,0,U$13))),2),0)</f>
        <v>0</v>
      </c>
      <c r="V58" s="265" t="n">
        <f aca="true" t="array" ref="V58:V58">IF(AUTOEVENTO="Manual",ROUND(SUMPRODUCT((CÁLCULO!$M$15:$M$59=EVENTOS!$C58)*(OFFSET(CÁLCULO!$AA$15:$AA$59,0,V$13))),2),0)</f>
        <v>0</v>
      </c>
      <c r="W58" s="265" t="n">
        <f aca="true" t="array" ref="W58:W58">IF(AUTOEVENTO="Manual",ROUND(SUMPRODUCT((CÁLCULO!$M$15:$M$59=EVENTOS!$C58)*(OFFSET(CÁLCULO!$AA$15:$AA$59,0,W$13))),2),0)</f>
        <v>0</v>
      </c>
      <c r="X58" s="265" t="n">
        <f aca="true" t="array" ref="X58:X58">IF(AUTOEVENTO="Manual",ROUND(SUMPRODUCT((CÁLCULO!$M$15:$M$59=EVENTOS!$C58)*(OFFSET(CÁLCULO!$AA$15:$AA$59,0,X$13))),2),0)</f>
        <v>0</v>
      </c>
      <c r="Y58" s="265" t="n">
        <f aca="true" t="array" ref="Y58:Y58">IF(AUTOEVENTO="Manual",ROUND(SUMPRODUCT((CÁLCULO!$M$15:$M$59=EVENTOS!$C58)*(OFFSET(CÁLCULO!$AA$15:$AA$59,0,Y$13))),2),0)</f>
        <v>0</v>
      </c>
    </row>
    <row r="59" customFormat="false" ht="12.75" hidden="false" customHeight="false" outlineLevel="0" collapsed="false">
      <c r="A59" s="178" t="str">
        <f aca="false">IF(D59="","","F")</f>
        <v/>
      </c>
      <c r="B59" s="0" t="str">
        <f aca="false">IF(OR(C59=" ",D59=""),"",CONCATENATE(C59,". ",D59))</f>
        <v/>
      </c>
      <c r="C59" s="263" t="str">
        <f aca="true" t="array" ref="C59:C59">IF(OR(ROW(C59)=ROW(EVENTOS.firstrow)+1,AND(OFFSET(C59,-1,0)&lt;&gt;" ",OFFSET(C59,-1,1)&lt;&gt;"")),OFFSET(C59,-1,0)+1," ")</f>
        <v> </v>
      </c>
      <c r="D59" s="264"/>
      <c r="E59" s="265" t="n">
        <f aca="true" t="array" ref="E59:E59">IF(AUTOEVENTO="Manual",ROUND(SUMPRODUCT((CÁLCULO!$M$15:$M$59=EVENTOS!$C59)*(OFFSET(CÁLCULO!$AA$15:$AA$59,0,E$13))),2),0)</f>
        <v>0</v>
      </c>
      <c r="F59" s="266" t="n">
        <f aca="true">IF(AUTOEVENTO="Manual",ROUND(SUMPRODUCT((CÁLCULO!$M$15:$M$59=EVENTOS!$C59)*(OFFSET(CÁLCULO!$AA$15,0,1):OFFSET(CÁLCULO!$AL$59,0,-1))),2),0)</f>
        <v>0</v>
      </c>
      <c r="G59" s="267" t="str">
        <f aca="false">IF(AND(D59=0,F59&gt;0),"NOME",
 IF(AND(D59&lt;&gt;0,$F$14&gt;0,F59=0),"VALOR",
 IF(AND(Import.TipoArredondamento="TransfereGOV",$A59="F",LEN(D59)&gt;100),"Nome &gt;100","")))</f>
        <v/>
      </c>
      <c r="H59" s="265" t="n">
        <f aca="true" t="array" ref="H59:H59">IF(AUTOEVENTO="Manual",ROUND(SUMPRODUCT((CÁLCULO!$M$15:$M$59=EVENTOS!$C59)*(OFFSET(CÁLCULO!$AA$15:$AA$59,0,H$13))),2),0)</f>
        <v>0</v>
      </c>
      <c r="I59" s="265" t="n">
        <f aca="true" t="array" ref="I59:I59">IF(AUTOEVENTO="Manual",ROUND(SUMPRODUCT((CÁLCULO!$M$15:$M$59=EVENTOS!$C59)*(OFFSET(CÁLCULO!$AA$15:$AA$59,0,I$13))),2),0)</f>
        <v>0</v>
      </c>
      <c r="J59" s="265" t="n">
        <f aca="true" t="array" ref="J59:J59">IF(AUTOEVENTO="Manual",ROUND(SUMPRODUCT((CÁLCULO!$M$15:$M$59=EVENTOS!$C59)*(OFFSET(CÁLCULO!$AA$15:$AA$59,0,J$13))),2),0)</f>
        <v>0</v>
      </c>
      <c r="K59" s="265" t="n">
        <f aca="true" t="array" ref="K59:K59">IF(AUTOEVENTO="Manual",ROUND(SUMPRODUCT((CÁLCULO!$M$15:$M$59=EVENTOS!$C59)*(OFFSET(CÁLCULO!$AA$15:$AA$59,0,K$13))),2),0)</f>
        <v>0</v>
      </c>
      <c r="L59" s="265" t="n">
        <f aca="true" t="array" ref="L59:L59">IF(AUTOEVENTO="Manual",ROUND(SUMPRODUCT((CÁLCULO!$M$15:$M$59=EVENTOS!$C59)*(OFFSET(CÁLCULO!$AA$15:$AA$59,0,L$13))),2),0)</f>
        <v>0</v>
      </c>
      <c r="M59" s="265" t="n">
        <f aca="true" t="array" ref="M59:M59">IF(AUTOEVENTO="Manual",ROUND(SUMPRODUCT((CÁLCULO!$M$15:$M$59=EVENTOS!$C59)*(OFFSET(CÁLCULO!$AA$15:$AA$59,0,M$13))),2),0)</f>
        <v>0</v>
      </c>
      <c r="N59" s="265" t="n">
        <f aca="true" t="array" ref="N59:N59">IF(AUTOEVENTO="Manual",ROUND(SUMPRODUCT((CÁLCULO!$M$15:$M$59=EVENTOS!$C59)*(OFFSET(CÁLCULO!$AA$15:$AA$59,0,N$13))),2),0)</f>
        <v>0</v>
      </c>
      <c r="O59" s="265" t="n">
        <f aca="true" t="array" ref="O59:O59">IF(AUTOEVENTO="Manual",ROUND(SUMPRODUCT((CÁLCULO!$M$15:$M$59=EVENTOS!$C59)*(OFFSET(CÁLCULO!$AA$15:$AA$59,0,O$13))),2),0)</f>
        <v>0</v>
      </c>
      <c r="P59" s="265" t="n">
        <f aca="true" t="array" ref="P59:P59">IF(AUTOEVENTO="Manual",ROUND(SUMPRODUCT((CÁLCULO!$M$15:$M$59=EVENTOS!$C59)*(OFFSET(CÁLCULO!$AA$15:$AA$59,0,P$13))),2),0)</f>
        <v>0</v>
      </c>
      <c r="Q59" s="265" t="n">
        <f aca="true" t="array" ref="Q59:Q59">IF(AUTOEVENTO="Manual",ROUND(SUMPRODUCT((CÁLCULO!$M$15:$M$59=EVENTOS!$C59)*(OFFSET(CÁLCULO!$AA$15:$AA$59,0,Q$13))),2),0)</f>
        <v>0</v>
      </c>
      <c r="R59" s="265" t="n">
        <f aca="true" t="array" ref="R59:R59">IF(AUTOEVENTO="Manual",ROUND(SUMPRODUCT((CÁLCULO!$M$15:$M$59=EVENTOS!$C59)*(OFFSET(CÁLCULO!$AA$15:$AA$59,0,R$13))),2),0)</f>
        <v>0</v>
      </c>
      <c r="S59" s="265" t="n">
        <f aca="true" t="array" ref="S59:S59">IF(AUTOEVENTO="Manual",ROUND(SUMPRODUCT((CÁLCULO!$M$15:$M$59=EVENTOS!$C59)*(OFFSET(CÁLCULO!$AA$15:$AA$59,0,S$13))),2),0)</f>
        <v>0</v>
      </c>
      <c r="T59" s="265" t="n">
        <f aca="true" t="array" ref="T59:T59">IF(AUTOEVENTO="Manual",ROUND(SUMPRODUCT((CÁLCULO!$M$15:$M$59=EVENTOS!$C59)*(OFFSET(CÁLCULO!$AA$15:$AA$59,0,T$13))),2),0)</f>
        <v>0</v>
      </c>
      <c r="U59" s="265" t="n">
        <f aca="true" t="array" ref="U59:U59">IF(AUTOEVENTO="Manual",ROUND(SUMPRODUCT((CÁLCULO!$M$15:$M$59=EVENTOS!$C59)*(OFFSET(CÁLCULO!$AA$15:$AA$59,0,U$13))),2),0)</f>
        <v>0</v>
      </c>
      <c r="V59" s="265" t="n">
        <f aca="true" t="array" ref="V59:V59">IF(AUTOEVENTO="Manual",ROUND(SUMPRODUCT((CÁLCULO!$M$15:$M$59=EVENTOS!$C59)*(OFFSET(CÁLCULO!$AA$15:$AA$59,0,V$13))),2),0)</f>
        <v>0</v>
      </c>
      <c r="W59" s="265" t="n">
        <f aca="true" t="array" ref="W59:W59">IF(AUTOEVENTO="Manual",ROUND(SUMPRODUCT((CÁLCULO!$M$15:$M$59=EVENTOS!$C59)*(OFFSET(CÁLCULO!$AA$15:$AA$59,0,W$13))),2),0)</f>
        <v>0</v>
      </c>
      <c r="X59" s="265" t="n">
        <f aca="true" t="array" ref="X59:X59">IF(AUTOEVENTO="Manual",ROUND(SUMPRODUCT((CÁLCULO!$M$15:$M$59=EVENTOS!$C59)*(OFFSET(CÁLCULO!$AA$15:$AA$59,0,X$13))),2),0)</f>
        <v>0</v>
      </c>
      <c r="Y59" s="265" t="n">
        <f aca="true" t="array" ref="Y59:Y59">IF(AUTOEVENTO="Manual",ROUND(SUMPRODUCT((CÁLCULO!$M$15:$M$59=EVENTOS!$C59)*(OFFSET(CÁLCULO!$AA$15:$AA$59,0,Y$13))),2),0)</f>
        <v>0</v>
      </c>
    </row>
    <row r="60" customFormat="false" ht="12.75" hidden="false" customHeight="false" outlineLevel="0" collapsed="false">
      <c r="A60" s="178" t="str">
        <f aca="false">IF(D60="","","F")</f>
        <v/>
      </c>
      <c r="B60" s="0" t="str">
        <f aca="false">IF(OR(C60=" ",D60=""),"",CONCATENATE(C60,". ",D60))</f>
        <v/>
      </c>
      <c r="C60" s="263" t="str">
        <f aca="true" t="array" ref="C60:C60">IF(OR(ROW(C60)=ROW(EVENTOS.firstrow)+1,AND(OFFSET(C60,-1,0)&lt;&gt;" ",OFFSET(C60,-1,1)&lt;&gt;"")),OFFSET(C60,-1,0)+1," ")</f>
        <v> </v>
      </c>
      <c r="D60" s="264"/>
      <c r="E60" s="265" t="n">
        <f aca="true" t="array" ref="E60:E60">IF(AUTOEVENTO="Manual",ROUND(SUMPRODUCT((CÁLCULO!$M$15:$M$59=EVENTOS!$C60)*(OFFSET(CÁLCULO!$AA$15:$AA$59,0,E$13))),2),0)</f>
        <v>0</v>
      </c>
      <c r="F60" s="266" t="n">
        <f aca="true">IF(AUTOEVENTO="Manual",ROUND(SUMPRODUCT((CÁLCULO!$M$15:$M$59=EVENTOS!$C60)*(OFFSET(CÁLCULO!$AA$15,0,1):OFFSET(CÁLCULO!$AL$59,0,-1))),2),0)</f>
        <v>0</v>
      </c>
      <c r="G60" s="267" t="str">
        <f aca="false">IF(AND(D60=0,F60&gt;0),"NOME",
 IF(AND(D60&lt;&gt;0,$F$14&gt;0,F60=0),"VALOR",
 IF(AND(Import.TipoArredondamento="TransfereGOV",$A60="F",LEN(D60)&gt;100),"Nome &gt;100","")))</f>
        <v/>
      </c>
      <c r="H60" s="265" t="n">
        <f aca="true" t="array" ref="H60:H60">IF(AUTOEVENTO="Manual",ROUND(SUMPRODUCT((CÁLCULO!$M$15:$M$59=EVENTOS!$C60)*(OFFSET(CÁLCULO!$AA$15:$AA$59,0,H$13))),2),0)</f>
        <v>0</v>
      </c>
      <c r="I60" s="265" t="n">
        <f aca="true" t="array" ref="I60:I60">IF(AUTOEVENTO="Manual",ROUND(SUMPRODUCT((CÁLCULO!$M$15:$M$59=EVENTOS!$C60)*(OFFSET(CÁLCULO!$AA$15:$AA$59,0,I$13))),2),0)</f>
        <v>0</v>
      </c>
      <c r="J60" s="265" t="n">
        <f aca="true" t="array" ref="J60:J60">IF(AUTOEVENTO="Manual",ROUND(SUMPRODUCT((CÁLCULO!$M$15:$M$59=EVENTOS!$C60)*(OFFSET(CÁLCULO!$AA$15:$AA$59,0,J$13))),2),0)</f>
        <v>0</v>
      </c>
      <c r="K60" s="265" t="n">
        <f aca="true" t="array" ref="K60:K60">IF(AUTOEVENTO="Manual",ROUND(SUMPRODUCT((CÁLCULO!$M$15:$M$59=EVENTOS!$C60)*(OFFSET(CÁLCULO!$AA$15:$AA$59,0,K$13))),2),0)</f>
        <v>0</v>
      </c>
      <c r="L60" s="265" t="n">
        <f aca="true" t="array" ref="L60:L60">IF(AUTOEVENTO="Manual",ROUND(SUMPRODUCT((CÁLCULO!$M$15:$M$59=EVENTOS!$C60)*(OFFSET(CÁLCULO!$AA$15:$AA$59,0,L$13))),2),0)</f>
        <v>0</v>
      </c>
      <c r="M60" s="265" t="n">
        <f aca="true" t="array" ref="M60:M60">IF(AUTOEVENTO="Manual",ROUND(SUMPRODUCT((CÁLCULO!$M$15:$M$59=EVENTOS!$C60)*(OFFSET(CÁLCULO!$AA$15:$AA$59,0,M$13))),2),0)</f>
        <v>0</v>
      </c>
      <c r="N60" s="265" t="n">
        <f aca="true" t="array" ref="N60:N60">IF(AUTOEVENTO="Manual",ROUND(SUMPRODUCT((CÁLCULO!$M$15:$M$59=EVENTOS!$C60)*(OFFSET(CÁLCULO!$AA$15:$AA$59,0,N$13))),2),0)</f>
        <v>0</v>
      </c>
      <c r="O60" s="265" t="n">
        <f aca="true" t="array" ref="O60:O60">IF(AUTOEVENTO="Manual",ROUND(SUMPRODUCT((CÁLCULO!$M$15:$M$59=EVENTOS!$C60)*(OFFSET(CÁLCULO!$AA$15:$AA$59,0,O$13))),2),0)</f>
        <v>0</v>
      </c>
      <c r="P60" s="265" t="n">
        <f aca="true" t="array" ref="P60:P60">IF(AUTOEVENTO="Manual",ROUND(SUMPRODUCT((CÁLCULO!$M$15:$M$59=EVENTOS!$C60)*(OFFSET(CÁLCULO!$AA$15:$AA$59,0,P$13))),2),0)</f>
        <v>0</v>
      </c>
      <c r="Q60" s="265" t="n">
        <f aca="true" t="array" ref="Q60:Q60">IF(AUTOEVENTO="Manual",ROUND(SUMPRODUCT((CÁLCULO!$M$15:$M$59=EVENTOS!$C60)*(OFFSET(CÁLCULO!$AA$15:$AA$59,0,Q$13))),2),0)</f>
        <v>0</v>
      </c>
      <c r="R60" s="265" t="n">
        <f aca="true" t="array" ref="R60:R60">IF(AUTOEVENTO="Manual",ROUND(SUMPRODUCT((CÁLCULO!$M$15:$M$59=EVENTOS!$C60)*(OFFSET(CÁLCULO!$AA$15:$AA$59,0,R$13))),2),0)</f>
        <v>0</v>
      </c>
      <c r="S60" s="265" t="n">
        <f aca="true" t="array" ref="S60:S60">IF(AUTOEVENTO="Manual",ROUND(SUMPRODUCT((CÁLCULO!$M$15:$M$59=EVENTOS!$C60)*(OFFSET(CÁLCULO!$AA$15:$AA$59,0,S$13))),2),0)</f>
        <v>0</v>
      </c>
      <c r="T60" s="265" t="n">
        <f aca="true" t="array" ref="T60:T60">IF(AUTOEVENTO="Manual",ROUND(SUMPRODUCT((CÁLCULO!$M$15:$M$59=EVENTOS!$C60)*(OFFSET(CÁLCULO!$AA$15:$AA$59,0,T$13))),2),0)</f>
        <v>0</v>
      </c>
      <c r="U60" s="265" t="n">
        <f aca="true" t="array" ref="U60:U60">IF(AUTOEVENTO="Manual",ROUND(SUMPRODUCT((CÁLCULO!$M$15:$M$59=EVENTOS!$C60)*(OFFSET(CÁLCULO!$AA$15:$AA$59,0,U$13))),2),0)</f>
        <v>0</v>
      </c>
      <c r="V60" s="265" t="n">
        <f aca="true" t="array" ref="V60:V60">IF(AUTOEVENTO="Manual",ROUND(SUMPRODUCT((CÁLCULO!$M$15:$M$59=EVENTOS!$C60)*(OFFSET(CÁLCULO!$AA$15:$AA$59,0,V$13))),2),0)</f>
        <v>0</v>
      </c>
      <c r="W60" s="265" t="n">
        <f aca="true" t="array" ref="W60:W60">IF(AUTOEVENTO="Manual",ROUND(SUMPRODUCT((CÁLCULO!$M$15:$M$59=EVENTOS!$C60)*(OFFSET(CÁLCULO!$AA$15:$AA$59,0,W$13))),2),0)</f>
        <v>0</v>
      </c>
      <c r="X60" s="265" t="n">
        <f aca="true" t="array" ref="X60:X60">IF(AUTOEVENTO="Manual",ROUND(SUMPRODUCT((CÁLCULO!$M$15:$M$59=EVENTOS!$C60)*(OFFSET(CÁLCULO!$AA$15:$AA$59,0,X$13))),2),0)</f>
        <v>0</v>
      </c>
      <c r="Y60" s="265" t="n">
        <f aca="true" t="array" ref="Y60:Y60">IF(AUTOEVENTO="Manual",ROUND(SUMPRODUCT((CÁLCULO!$M$15:$M$59=EVENTOS!$C60)*(OFFSET(CÁLCULO!$AA$15:$AA$59,0,Y$13))),2),0)</f>
        <v>0</v>
      </c>
    </row>
    <row r="61" customFormat="false" ht="12.75" hidden="false" customHeight="false" outlineLevel="0" collapsed="false">
      <c r="A61" s="178" t="str">
        <f aca="false">IF(D61="","","F")</f>
        <v/>
      </c>
      <c r="B61" s="0" t="str">
        <f aca="false">IF(OR(C61=" ",D61=""),"",CONCATENATE(C61,". ",D61))</f>
        <v/>
      </c>
      <c r="C61" s="263" t="str">
        <f aca="true" t="array" ref="C61:C61">IF(OR(ROW(C61)=ROW(EVENTOS.firstrow)+1,AND(OFFSET(C61,-1,0)&lt;&gt;" ",OFFSET(C61,-1,1)&lt;&gt;"")),OFFSET(C61,-1,0)+1," ")</f>
        <v> </v>
      </c>
      <c r="D61" s="264"/>
      <c r="E61" s="265" t="n">
        <f aca="true" t="array" ref="E61:E61">IF(AUTOEVENTO="Manual",ROUND(SUMPRODUCT((CÁLCULO!$M$15:$M$59=EVENTOS!$C61)*(OFFSET(CÁLCULO!$AA$15:$AA$59,0,E$13))),2),0)</f>
        <v>0</v>
      </c>
      <c r="F61" s="266" t="n">
        <f aca="true">IF(AUTOEVENTO="Manual",ROUND(SUMPRODUCT((CÁLCULO!$M$15:$M$59=EVENTOS!$C61)*(OFFSET(CÁLCULO!$AA$15,0,1):OFFSET(CÁLCULO!$AL$59,0,-1))),2),0)</f>
        <v>0</v>
      </c>
      <c r="G61" s="267" t="str">
        <f aca="false">IF(AND(D61=0,F61&gt;0),"NOME",
 IF(AND(D61&lt;&gt;0,$F$14&gt;0,F61=0),"VALOR",
 IF(AND(Import.TipoArredondamento="TransfereGOV",$A61="F",LEN(D61)&gt;100),"Nome &gt;100","")))</f>
        <v/>
      </c>
      <c r="H61" s="265" t="n">
        <f aca="true" t="array" ref="H61:H61">IF(AUTOEVENTO="Manual",ROUND(SUMPRODUCT((CÁLCULO!$M$15:$M$59=EVENTOS!$C61)*(OFFSET(CÁLCULO!$AA$15:$AA$59,0,H$13))),2),0)</f>
        <v>0</v>
      </c>
      <c r="I61" s="265" t="n">
        <f aca="true" t="array" ref="I61:I61">IF(AUTOEVENTO="Manual",ROUND(SUMPRODUCT((CÁLCULO!$M$15:$M$59=EVENTOS!$C61)*(OFFSET(CÁLCULO!$AA$15:$AA$59,0,I$13))),2),0)</f>
        <v>0</v>
      </c>
      <c r="J61" s="265" t="n">
        <f aca="true" t="array" ref="J61:J61">IF(AUTOEVENTO="Manual",ROUND(SUMPRODUCT((CÁLCULO!$M$15:$M$59=EVENTOS!$C61)*(OFFSET(CÁLCULO!$AA$15:$AA$59,0,J$13))),2),0)</f>
        <v>0</v>
      </c>
      <c r="K61" s="265" t="n">
        <f aca="true" t="array" ref="K61:K61">IF(AUTOEVENTO="Manual",ROUND(SUMPRODUCT((CÁLCULO!$M$15:$M$59=EVENTOS!$C61)*(OFFSET(CÁLCULO!$AA$15:$AA$59,0,K$13))),2),0)</f>
        <v>0</v>
      </c>
      <c r="L61" s="265" t="n">
        <f aca="true" t="array" ref="L61:L61">IF(AUTOEVENTO="Manual",ROUND(SUMPRODUCT((CÁLCULO!$M$15:$M$59=EVENTOS!$C61)*(OFFSET(CÁLCULO!$AA$15:$AA$59,0,L$13))),2),0)</f>
        <v>0</v>
      </c>
      <c r="M61" s="265" t="n">
        <f aca="true" t="array" ref="M61:M61">IF(AUTOEVENTO="Manual",ROUND(SUMPRODUCT((CÁLCULO!$M$15:$M$59=EVENTOS!$C61)*(OFFSET(CÁLCULO!$AA$15:$AA$59,0,M$13))),2),0)</f>
        <v>0</v>
      </c>
      <c r="N61" s="265" t="n">
        <f aca="true" t="array" ref="N61:N61">IF(AUTOEVENTO="Manual",ROUND(SUMPRODUCT((CÁLCULO!$M$15:$M$59=EVENTOS!$C61)*(OFFSET(CÁLCULO!$AA$15:$AA$59,0,N$13))),2),0)</f>
        <v>0</v>
      </c>
      <c r="O61" s="265" t="n">
        <f aca="true" t="array" ref="O61:O61">IF(AUTOEVENTO="Manual",ROUND(SUMPRODUCT((CÁLCULO!$M$15:$M$59=EVENTOS!$C61)*(OFFSET(CÁLCULO!$AA$15:$AA$59,0,O$13))),2),0)</f>
        <v>0</v>
      </c>
      <c r="P61" s="265" t="n">
        <f aca="true" t="array" ref="P61:P61">IF(AUTOEVENTO="Manual",ROUND(SUMPRODUCT((CÁLCULO!$M$15:$M$59=EVENTOS!$C61)*(OFFSET(CÁLCULO!$AA$15:$AA$59,0,P$13))),2),0)</f>
        <v>0</v>
      </c>
      <c r="Q61" s="265" t="n">
        <f aca="true" t="array" ref="Q61:Q61">IF(AUTOEVENTO="Manual",ROUND(SUMPRODUCT((CÁLCULO!$M$15:$M$59=EVENTOS!$C61)*(OFFSET(CÁLCULO!$AA$15:$AA$59,0,Q$13))),2),0)</f>
        <v>0</v>
      </c>
      <c r="R61" s="265" t="n">
        <f aca="true" t="array" ref="R61:R61">IF(AUTOEVENTO="Manual",ROUND(SUMPRODUCT((CÁLCULO!$M$15:$M$59=EVENTOS!$C61)*(OFFSET(CÁLCULO!$AA$15:$AA$59,0,R$13))),2),0)</f>
        <v>0</v>
      </c>
      <c r="S61" s="265" t="n">
        <f aca="true" t="array" ref="S61:S61">IF(AUTOEVENTO="Manual",ROUND(SUMPRODUCT((CÁLCULO!$M$15:$M$59=EVENTOS!$C61)*(OFFSET(CÁLCULO!$AA$15:$AA$59,0,S$13))),2),0)</f>
        <v>0</v>
      </c>
      <c r="T61" s="265" t="n">
        <f aca="true" t="array" ref="T61:T61">IF(AUTOEVENTO="Manual",ROUND(SUMPRODUCT((CÁLCULO!$M$15:$M$59=EVENTOS!$C61)*(OFFSET(CÁLCULO!$AA$15:$AA$59,0,T$13))),2),0)</f>
        <v>0</v>
      </c>
      <c r="U61" s="265" t="n">
        <f aca="true" t="array" ref="U61:U61">IF(AUTOEVENTO="Manual",ROUND(SUMPRODUCT((CÁLCULO!$M$15:$M$59=EVENTOS!$C61)*(OFFSET(CÁLCULO!$AA$15:$AA$59,0,U$13))),2),0)</f>
        <v>0</v>
      </c>
      <c r="V61" s="265" t="n">
        <f aca="true" t="array" ref="V61:V61">IF(AUTOEVENTO="Manual",ROUND(SUMPRODUCT((CÁLCULO!$M$15:$M$59=EVENTOS!$C61)*(OFFSET(CÁLCULO!$AA$15:$AA$59,0,V$13))),2),0)</f>
        <v>0</v>
      </c>
      <c r="W61" s="265" t="n">
        <f aca="true" t="array" ref="W61:W61">IF(AUTOEVENTO="Manual",ROUND(SUMPRODUCT((CÁLCULO!$M$15:$M$59=EVENTOS!$C61)*(OFFSET(CÁLCULO!$AA$15:$AA$59,0,W$13))),2),0)</f>
        <v>0</v>
      </c>
      <c r="X61" s="265" t="n">
        <f aca="true" t="array" ref="X61:X61">IF(AUTOEVENTO="Manual",ROUND(SUMPRODUCT((CÁLCULO!$M$15:$M$59=EVENTOS!$C61)*(OFFSET(CÁLCULO!$AA$15:$AA$59,0,X$13))),2),0)</f>
        <v>0</v>
      </c>
      <c r="Y61" s="265" t="n">
        <f aca="true" t="array" ref="Y61:Y61">IF(AUTOEVENTO="Manual",ROUND(SUMPRODUCT((CÁLCULO!$M$15:$M$59=EVENTOS!$C61)*(OFFSET(CÁLCULO!$AA$15:$AA$59,0,Y$13))),2),0)</f>
        <v>0</v>
      </c>
    </row>
    <row r="62" customFormat="false" ht="12.75" hidden="false" customHeight="false" outlineLevel="0" collapsed="false">
      <c r="A62" s="178" t="str">
        <f aca="false">IF(D62="","","F")</f>
        <v/>
      </c>
      <c r="B62" s="0" t="str">
        <f aca="false">IF(OR(C62=" ",D62=""),"",CONCATENATE(C62,". ",D62))</f>
        <v/>
      </c>
      <c r="C62" s="263" t="str">
        <f aca="true" t="array" ref="C62:C62">IF(OR(ROW(C62)=ROW(EVENTOS.firstrow)+1,AND(OFFSET(C62,-1,0)&lt;&gt;" ",OFFSET(C62,-1,1)&lt;&gt;"")),OFFSET(C62,-1,0)+1," ")</f>
        <v> </v>
      </c>
      <c r="D62" s="264"/>
      <c r="E62" s="265" t="n">
        <f aca="true" t="array" ref="E62:E62">IF(AUTOEVENTO="Manual",ROUND(SUMPRODUCT((CÁLCULO!$M$15:$M$59=EVENTOS!$C62)*(OFFSET(CÁLCULO!$AA$15:$AA$59,0,E$13))),2),0)</f>
        <v>0</v>
      </c>
      <c r="F62" s="266" t="n">
        <f aca="true">IF(AUTOEVENTO="Manual",ROUND(SUMPRODUCT((CÁLCULO!$M$15:$M$59=EVENTOS!$C62)*(OFFSET(CÁLCULO!$AA$15,0,1):OFFSET(CÁLCULO!$AL$59,0,-1))),2),0)</f>
        <v>0</v>
      </c>
      <c r="G62" s="267" t="str">
        <f aca="false">IF(AND(D62=0,F62&gt;0),"NOME",
 IF(AND(D62&lt;&gt;0,$F$14&gt;0,F62=0),"VALOR",
 IF(AND(Import.TipoArredondamento="TransfereGOV",$A62="F",LEN(D62)&gt;100),"Nome &gt;100","")))</f>
        <v/>
      </c>
      <c r="H62" s="265" t="n">
        <f aca="true" t="array" ref="H62:H62">IF(AUTOEVENTO="Manual",ROUND(SUMPRODUCT((CÁLCULO!$M$15:$M$59=EVENTOS!$C62)*(OFFSET(CÁLCULO!$AA$15:$AA$59,0,H$13))),2),0)</f>
        <v>0</v>
      </c>
      <c r="I62" s="265" t="n">
        <f aca="true" t="array" ref="I62:I62">IF(AUTOEVENTO="Manual",ROUND(SUMPRODUCT((CÁLCULO!$M$15:$M$59=EVENTOS!$C62)*(OFFSET(CÁLCULO!$AA$15:$AA$59,0,I$13))),2),0)</f>
        <v>0</v>
      </c>
      <c r="J62" s="265" t="n">
        <f aca="true" t="array" ref="J62:J62">IF(AUTOEVENTO="Manual",ROUND(SUMPRODUCT((CÁLCULO!$M$15:$M$59=EVENTOS!$C62)*(OFFSET(CÁLCULO!$AA$15:$AA$59,0,J$13))),2),0)</f>
        <v>0</v>
      </c>
      <c r="K62" s="265" t="n">
        <f aca="true" t="array" ref="K62:K62">IF(AUTOEVENTO="Manual",ROUND(SUMPRODUCT((CÁLCULO!$M$15:$M$59=EVENTOS!$C62)*(OFFSET(CÁLCULO!$AA$15:$AA$59,0,K$13))),2),0)</f>
        <v>0</v>
      </c>
      <c r="L62" s="265" t="n">
        <f aca="true" t="array" ref="L62:L62">IF(AUTOEVENTO="Manual",ROUND(SUMPRODUCT((CÁLCULO!$M$15:$M$59=EVENTOS!$C62)*(OFFSET(CÁLCULO!$AA$15:$AA$59,0,L$13))),2),0)</f>
        <v>0</v>
      </c>
      <c r="M62" s="265" t="n">
        <f aca="true" t="array" ref="M62:M62">IF(AUTOEVENTO="Manual",ROUND(SUMPRODUCT((CÁLCULO!$M$15:$M$59=EVENTOS!$C62)*(OFFSET(CÁLCULO!$AA$15:$AA$59,0,M$13))),2),0)</f>
        <v>0</v>
      </c>
      <c r="N62" s="265" t="n">
        <f aca="true" t="array" ref="N62:N62">IF(AUTOEVENTO="Manual",ROUND(SUMPRODUCT((CÁLCULO!$M$15:$M$59=EVENTOS!$C62)*(OFFSET(CÁLCULO!$AA$15:$AA$59,0,N$13))),2),0)</f>
        <v>0</v>
      </c>
      <c r="O62" s="265" t="n">
        <f aca="true" t="array" ref="O62:O62">IF(AUTOEVENTO="Manual",ROUND(SUMPRODUCT((CÁLCULO!$M$15:$M$59=EVENTOS!$C62)*(OFFSET(CÁLCULO!$AA$15:$AA$59,0,O$13))),2),0)</f>
        <v>0</v>
      </c>
      <c r="P62" s="265" t="n">
        <f aca="true" t="array" ref="P62:P62">IF(AUTOEVENTO="Manual",ROUND(SUMPRODUCT((CÁLCULO!$M$15:$M$59=EVENTOS!$C62)*(OFFSET(CÁLCULO!$AA$15:$AA$59,0,P$13))),2),0)</f>
        <v>0</v>
      </c>
      <c r="Q62" s="265" t="n">
        <f aca="true" t="array" ref="Q62:Q62">IF(AUTOEVENTO="Manual",ROUND(SUMPRODUCT((CÁLCULO!$M$15:$M$59=EVENTOS!$C62)*(OFFSET(CÁLCULO!$AA$15:$AA$59,0,Q$13))),2),0)</f>
        <v>0</v>
      </c>
      <c r="R62" s="265" t="n">
        <f aca="true" t="array" ref="R62:R62">IF(AUTOEVENTO="Manual",ROUND(SUMPRODUCT((CÁLCULO!$M$15:$M$59=EVENTOS!$C62)*(OFFSET(CÁLCULO!$AA$15:$AA$59,0,R$13))),2),0)</f>
        <v>0</v>
      </c>
      <c r="S62" s="265" t="n">
        <f aca="true" t="array" ref="S62:S62">IF(AUTOEVENTO="Manual",ROUND(SUMPRODUCT((CÁLCULO!$M$15:$M$59=EVENTOS!$C62)*(OFFSET(CÁLCULO!$AA$15:$AA$59,0,S$13))),2),0)</f>
        <v>0</v>
      </c>
      <c r="T62" s="265" t="n">
        <f aca="true" t="array" ref="T62:T62">IF(AUTOEVENTO="Manual",ROUND(SUMPRODUCT((CÁLCULO!$M$15:$M$59=EVENTOS!$C62)*(OFFSET(CÁLCULO!$AA$15:$AA$59,0,T$13))),2),0)</f>
        <v>0</v>
      </c>
      <c r="U62" s="265" t="n">
        <f aca="true" t="array" ref="U62:U62">IF(AUTOEVENTO="Manual",ROUND(SUMPRODUCT((CÁLCULO!$M$15:$M$59=EVENTOS!$C62)*(OFFSET(CÁLCULO!$AA$15:$AA$59,0,U$13))),2),0)</f>
        <v>0</v>
      </c>
      <c r="V62" s="265" t="n">
        <f aca="true" t="array" ref="V62:V62">IF(AUTOEVENTO="Manual",ROUND(SUMPRODUCT((CÁLCULO!$M$15:$M$59=EVENTOS!$C62)*(OFFSET(CÁLCULO!$AA$15:$AA$59,0,V$13))),2),0)</f>
        <v>0</v>
      </c>
      <c r="W62" s="265" t="n">
        <f aca="true" t="array" ref="W62:W62">IF(AUTOEVENTO="Manual",ROUND(SUMPRODUCT((CÁLCULO!$M$15:$M$59=EVENTOS!$C62)*(OFFSET(CÁLCULO!$AA$15:$AA$59,0,W$13))),2),0)</f>
        <v>0</v>
      </c>
      <c r="X62" s="265" t="n">
        <f aca="true" t="array" ref="X62:X62">IF(AUTOEVENTO="Manual",ROUND(SUMPRODUCT((CÁLCULO!$M$15:$M$59=EVENTOS!$C62)*(OFFSET(CÁLCULO!$AA$15:$AA$59,0,X$13))),2),0)</f>
        <v>0</v>
      </c>
      <c r="Y62" s="265" t="n">
        <f aca="true" t="array" ref="Y62:Y62">IF(AUTOEVENTO="Manual",ROUND(SUMPRODUCT((CÁLCULO!$M$15:$M$59=EVENTOS!$C62)*(OFFSET(CÁLCULO!$AA$15:$AA$59,0,Y$13))),2),0)</f>
        <v>0</v>
      </c>
    </row>
    <row r="63" customFormat="false" ht="12.75" hidden="false" customHeight="false" outlineLevel="0" collapsed="false">
      <c r="A63" s="178" t="str">
        <f aca="false">IF(D63="","","F")</f>
        <v/>
      </c>
      <c r="B63" s="0" t="str">
        <f aca="false">IF(OR(C63=" ",D63=""),"",CONCATENATE(C63,". ",D63))</f>
        <v/>
      </c>
      <c r="C63" s="263" t="str">
        <f aca="true" t="array" ref="C63:C63">IF(OR(ROW(C63)=ROW(EVENTOS.firstrow)+1,AND(OFFSET(C63,-1,0)&lt;&gt;" ",OFFSET(C63,-1,1)&lt;&gt;"")),OFFSET(C63,-1,0)+1," ")</f>
        <v> </v>
      </c>
      <c r="D63" s="264"/>
      <c r="E63" s="265" t="n">
        <f aca="true" t="array" ref="E63:E63">IF(AUTOEVENTO="Manual",ROUND(SUMPRODUCT((CÁLCULO!$M$15:$M$59=EVENTOS!$C63)*(OFFSET(CÁLCULO!$AA$15:$AA$59,0,E$13))),2),0)</f>
        <v>0</v>
      </c>
      <c r="F63" s="266" t="n">
        <f aca="true">IF(AUTOEVENTO="Manual",ROUND(SUMPRODUCT((CÁLCULO!$M$15:$M$59=EVENTOS!$C63)*(OFFSET(CÁLCULO!$AA$15,0,1):OFFSET(CÁLCULO!$AL$59,0,-1))),2),0)</f>
        <v>0</v>
      </c>
      <c r="G63" s="267" t="str">
        <f aca="false">IF(AND(D63=0,F63&gt;0),"NOME",
 IF(AND(D63&lt;&gt;0,$F$14&gt;0,F63=0),"VALOR",
 IF(AND(Import.TipoArredondamento="TransfereGOV",$A63="F",LEN(D63)&gt;100),"Nome &gt;100","")))</f>
        <v/>
      </c>
      <c r="H63" s="265" t="n">
        <f aca="true" t="array" ref="H63:H63">IF(AUTOEVENTO="Manual",ROUND(SUMPRODUCT((CÁLCULO!$M$15:$M$59=EVENTOS!$C63)*(OFFSET(CÁLCULO!$AA$15:$AA$59,0,H$13))),2),0)</f>
        <v>0</v>
      </c>
      <c r="I63" s="265" t="n">
        <f aca="true" t="array" ref="I63:I63">IF(AUTOEVENTO="Manual",ROUND(SUMPRODUCT((CÁLCULO!$M$15:$M$59=EVENTOS!$C63)*(OFFSET(CÁLCULO!$AA$15:$AA$59,0,I$13))),2),0)</f>
        <v>0</v>
      </c>
      <c r="J63" s="265" t="n">
        <f aca="true" t="array" ref="J63:J63">IF(AUTOEVENTO="Manual",ROUND(SUMPRODUCT((CÁLCULO!$M$15:$M$59=EVENTOS!$C63)*(OFFSET(CÁLCULO!$AA$15:$AA$59,0,J$13))),2),0)</f>
        <v>0</v>
      </c>
      <c r="K63" s="265" t="n">
        <f aca="true" t="array" ref="K63:K63">IF(AUTOEVENTO="Manual",ROUND(SUMPRODUCT((CÁLCULO!$M$15:$M$59=EVENTOS!$C63)*(OFFSET(CÁLCULO!$AA$15:$AA$59,0,K$13))),2),0)</f>
        <v>0</v>
      </c>
      <c r="L63" s="265" t="n">
        <f aca="true" t="array" ref="L63:L63">IF(AUTOEVENTO="Manual",ROUND(SUMPRODUCT((CÁLCULO!$M$15:$M$59=EVENTOS!$C63)*(OFFSET(CÁLCULO!$AA$15:$AA$59,0,L$13))),2),0)</f>
        <v>0</v>
      </c>
      <c r="M63" s="265" t="n">
        <f aca="true" t="array" ref="M63:M63">IF(AUTOEVENTO="Manual",ROUND(SUMPRODUCT((CÁLCULO!$M$15:$M$59=EVENTOS!$C63)*(OFFSET(CÁLCULO!$AA$15:$AA$59,0,M$13))),2),0)</f>
        <v>0</v>
      </c>
      <c r="N63" s="265" t="n">
        <f aca="true" t="array" ref="N63:N63">IF(AUTOEVENTO="Manual",ROUND(SUMPRODUCT((CÁLCULO!$M$15:$M$59=EVENTOS!$C63)*(OFFSET(CÁLCULO!$AA$15:$AA$59,0,N$13))),2),0)</f>
        <v>0</v>
      </c>
      <c r="O63" s="265" t="n">
        <f aca="true" t="array" ref="O63:O63">IF(AUTOEVENTO="Manual",ROUND(SUMPRODUCT((CÁLCULO!$M$15:$M$59=EVENTOS!$C63)*(OFFSET(CÁLCULO!$AA$15:$AA$59,0,O$13))),2),0)</f>
        <v>0</v>
      </c>
      <c r="P63" s="265" t="n">
        <f aca="true" t="array" ref="P63:P63">IF(AUTOEVENTO="Manual",ROUND(SUMPRODUCT((CÁLCULO!$M$15:$M$59=EVENTOS!$C63)*(OFFSET(CÁLCULO!$AA$15:$AA$59,0,P$13))),2),0)</f>
        <v>0</v>
      </c>
      <c r="Q63" s="265" t="n">
        <f aca="true" t="array" ref="Q63:Q63">IF(AUTOEVENTO="Manual",ROUND(SUMPRODUCT((CÁLCULO!$M$15:$M$59=EVENTOS!$C63)*(OFFSET(CÁLCULO!$AA$15:$AA$59,0,Q$13))),2),0)</f>
        <v>0</v>
      </c>
      <c r="R63" s="265" t="n">
        <f aca="true" t="array" ref="R63:R63">IF(AUTOEVENTO="Manual",ROUND(SUMPRODUCT((CÁLCULO!$M$15:$M$59=EVENTOS!$C63)*(OFFSET(CÁLCULO!$AA$15:$AA$59,0,R$13))),2),0)</f>
        <v>0</v>
      </c>
      <c r="S63" s="265" t="n">
        <f aca="true" t="array" ref="S63:S63">IF(AUTOEVENTO="Manual",ROUND(SUMPRODUCT((CÁLCULO!$M$15:$M$59=EVENTOS!$C63)*(OFFSET(CÁLCULO!$AA$15:$AA$59,0,S$13))),2),0)</f>
        <v>0</v>
      </c>
      <c r="T63" s="265" t="n">
        <f aca="true" t="array" ref="T63:T63">IF(AUTOEVENTO="Manual",ROUND(SUMPRODUCT((CÁLCULO!$M$15:$M$59=EVENTOS!$C63)*(OFFSET(CÁLCULO!$AA$15:$AA$59,0,T$13))),2),0)</f>
        <v>0</v>
      </c>
      <c r="U63" s="265" t="n">
        <f aca="true" t="array" ref="U63:U63">IF(AUTOEVENTO="Manual",ROUND(SUMPRODUCT((CÁLCULO!$M$15:$M$59=EVENTOS!$C63)*(OFFSET(CÁLCULO!$AA$15:$AA$59,0,U$13))),2),0)</f>
        <v>0</v>
      </c>
      <c r="V63" s="265" t="n">
        <f aca="true" t="array" ref="V63:V63">IF(AUTOEVENTO="Manual",ROUND(SUMPRODUCT((CÁLCULO!$M$15:$M$59=EVENTOS!$C63)*(OFFSET(CÁLCULO!$AA$15:$AA$59,0,V$13))),2),0)</f>
        <v>0</v>
      </c>
      <c r="W63" s="265" t="n">
        <f aca="true" t="array" ref="W63:W63">IF(AUTOEVENTO="Manual",ROUND(SUMPRODUCT((CÁLCULO!$M$15:$M$59=EVENTOS!$C63)*(OFFSET(CÁLCULO!$AA$15:$AA$59,0,W$13))),2),0)</f>
        <v>0</v>
      </c>
      <c r="X63" s="265" t="n">
        <f aca="true" t="array" ref="X63:X63">IF(AUTOEVENTO="Manual",ROUND(SUMPRODUCT((CÁLCULO!$M$15:$M$59=EVENTOS!$C63)*(OFFSET(CÁLCULO!$AA$15:$AA$59,0,X$13))),2),0)</f>
        <v>0</v>
      </c>
      <c r="Y63" s="265" t="n">
        <f aca="true" t="array" ref="Y63:Y63">IF(AUTOEVENTO="Manual",ROUND(SUMPRODUCT((CÁLCULO!$M$15:$M$59=EVENTOS!$C63)*(OFFSET(CÁLCULO!$AA$15:$AA$59,0,Y$13))),2),0)</f>
        <v>0</v>
      </c>
    </row>
    <row r="64" customFormat="false" ht="12.75" hidden="false" customHeight="false" outlineLevel="0" collapsed="false">
      <c r="A64" s="178" t="str">
        <f aca="false">IF(D64="","","F")</f>
        <v/>
      </c>
      <c r="B64" s="0" t="str">
        <f aca="false">IF(OR(C64=" ",D64=""),"",CONCATENATE(C64,". ",D64))</f>
        <v/>
      </c>
      <c r="C64" s="263" t="str">
        <f aca="true" t="array" ref="C64:C64">IF(OR(ROW(C64)=ROW(EVENTOS.firstrow)+1,AND(OFFSET(C64,-1,0)&lt;&gt;" ",OFFSET(C64,-1,1)&lt;&gt;"")),OFFSET(C64,-1,0)+1," ")</f>
        <v> </v>
      </c>
      <c r="D64" s="264"/>
      <c r="E64" s="265" t="n">
        <f aca="true" t="array" ref="E64:E64">IF(AUTOEVENTO="Manual",ROUND(SUMPRODUCT((CÁLCULO!$M$15:$M$59=EVENTOS!$C64)*(OFFSET(CÁLCULO!$AA$15:$AA$59,0,E$13))),2),0)</f>
        <v>0</v>
      </c>
      <c r="F64" s="266" t="n">
        <f aca="true">IF(AUTOEVENTO="Manual",ROUND(SUMPRODUCT((CÁLCULO!$M$15:$M$59=EVENTOS!$C64)*(OFFSET(CÁLCULO!$AA$15,0,1):OFFSET(CÁLCULO!$AL$59,0,-1))),2),0)</f>
        <v>0</v>
      </c>
      <c r="G64" s="267" t="str">
        <f aca="false">IF(AND(D64=0,F64&gt;0),"NOME",
 IF(AND(D64&lt;&gt;0,$F$14&gt;0,F64=0),"VALOR",
 IF(AND(Import.TipoArredondamento="TransfereGOV",$A64="F",LEN(D64)&gt;100),"Nome &gt;100","")))</f>
        <v/>
      </c>
      <c r="H64" s="265" t="n">
        <f aca="true" t="array" ref="H64:H64">IF(AUTOEVENTO="Manual",ROUND(SUMPRODUCT((CÁLCULO!$M$15:$M$59=EVENTOS!$C64)*(OFFSET(CÁLCULO!$AA$15:$AA$59,0,H$13))),2),0)</f>
        <v>0</v>
      </c>
      <c r="I64" s="265" t="n">
        <f aca="true" t="array" ref="I64:I64">IF(AUTOEVENTO="Manual",ROUND(SUMPRODUCT((CÁLCULO!$M$15:$M$59=EVENTOS!$C64)*(OFFSET(CÁLCULO!$AA$15:$AA$59,0,I$13))),2),0)</f>
        <v>0</v>
      </c>
      <c r="J64" s="265" t="n">
        <f aca="true" t="array" ref="J64:J64">IF(AUTOEVENTO="Manual",ROUND(SUMPRODUCT((CÁLCULO!$M$15:$M$59=EVENTOS!$C64)*(OFFSET(CÁLCULO!$AA$15:$AA$59,0,J$13))),2),0)</f>
        <v>0</v>
      </c>
      <c r="K64" s="265" t="n">
        <f aca="true" t="array" ref="K64:K64">IF(AUTOEVENTO="Manual",ROUND(SUMPRODUCT((CÁLCULO!$M$15:$M$59=EVENTOS!$C64)*(OFFSET(CÁLCULO!$AA$15:$AA$59,0,K$13))),2),0)</f>
        <v>0</v>
      </c>
      <c r="L64" s="265" t="n">
        <f aca="true" t="array" ref="L64:L64">IF(AUTOEVENTO="Manual",ROUND(SUMPRODUCT((CÁLCULO!$M$15:$M$59=EVENTOS!$C64)*(OFFSET(CÁLCULO!$AA$15:$AA$59,0,L$13))),2),0)</f>
        <v>0</v>
      </c>
      <c r="M64" s="265" t="n">
        <f aca="true" t="array" ref="M64:M64">IF(AUTOEVENTO="Manual",ROUND(SUMPRODUCT((CÁLCULO!$M$15:$M$59=EVENTOS!$C64)*(OFFSET(CÁLCULO!$AA$15:$AA$59,0,M$13))),2),0)</f>
        <v>0</v>
      </c>
      <c r="N64" s="265" t="n">
        <f aca="true" t="array" ref="N64:N64">IF(AUTOEVENTO="Manual",ROUND(SUMPRODUCT((CÁLCULO!$M$15:$M$59=EVENTOS!$C64)*(OFFSET(CÁLCULO!$AA$15:$AA$59,0,N$13))),2),0)</f>
        <v>0</v>
      </c>
      <c r="O64" s="265" t="n">
        <f aca="true" t="array" ref="O64:O64">IF(AUTOEVENTO="Manual",ROUND(SUMPRODUCT((CÁLCULO!$M$15:$M$59=EVENTOS!$C64)*(OFFSET(CÁLCULO!$AA$15:$AA$59,0,O$13))),2),0)</f>
        <v>0</v>
      </c>
      <c r="P64" s="265" t="n">
        <f aca="true" t="array" ref="P64:P64">IF(AUTOEVENTO="Manual",ROUND(SUMPRODUCT((CÁLCULO!$M$15:$M$59=EVENTOS!$C64)*(OFFSET(CÁLCULO!$AA$15:$AA$59,0,P$13))),2),0)</f>
        <v>0</v>
      </c>
      <c r="Q64" s="265" t="n">
        <f aca="true" t="array" ref="Q64:Q64">IF(AUTOEVENTO="Manual",ROUND(SUMPRODUCT((CÁLCULO!$M$15:$M$59=EVENTOS!$C64)*(OFFSET(CÁLCULO!$AA$15:$AA$59,0,Q$13))),2),0)</f>
        <v>0</v>
      </c>
      <c r="R64" s="265" t="n">
        <f aca="true" t="array" ref="R64:R64">IF(AUTOEVENTO="Manual",ROUND(SUMPRODUCT((CÁLCULO!$M$15:$M$59=EVENTOS!$C64)*(OFFSET(CÁLCULO!$AA$15:$AA$59,0,R$13))),2),0)</f>
        <v>0</v>
      </c>
      <c r="S64" s="265" t="n">
        <f aca="true" t="array" ref="S64:S64">IF(AUTOEVENTO="Manual",ROUND(SUMPRODUCT((CÁLCULO!$M$15:$M$59=EVENTOS!$C64)*(OFFSET(CÁLCULO!$AA$15:$AA$59,0,S$13))),2),0)</f>
        <v>0</v>
      </c>
      <c r="T64" s="265" t="n">
        <f aca="true" t="array" ref="T64:T64">IF(AUTOEVENTO="Manual",ROUND(SUMPRODUCT((CÁLCULO!$M$15:$M$59=EVENTOS!$C64)*(OFFSET(CÁLCULO!$AA$15:$AA$59,0,T$13))),2),0)</f>
        <v>0</v>
      </c>
      <c r="U64" s="265" t="n">
        <f aca="true" t="array" ref="U64:U64">IF(AUTOEVENTO="Manual",ROUND(SUMPRODUCT((CÁLCULO!$M$15:$M$59=EVENTOS!$C64)*(OFFSET(CÁLCULO!$AA$15:$AA$59,0,U$13))),2),0)</f>
        <v>0</v>
      </c>
      <c r="V64" s="265" t="n">
        <f aca="true" t="array" ref="V64:V64">IF(AUTOEVENTO="Manual",ROUND(SUMPRODUCT((CÁLCULO!$M$15:$M$59=EVENTOS!$C64)*(OFFSET(CÁLCULO!$AA$15:$AA$59,0,V$13))),2),0)</f>
        <v>0</v>
      </c>
      <c r="W64" s="265" t="n">
        <f aca="true" t="array" ref="W64:W64">IF(AUTOEVENTO="Manual",ROUND(SUMPRODUCT((CÁLCULO!$M$15:$M$59=EVENTOS!$C64)*(OFFSET(CÁLCULO!$AA$15:$AA$59,0,W$13))),2),0)</f>
        <v>0</v>
      </c>
      <c r="X64" s="265" t="n">
        <f aca="true" t="array" ref="X64:X64">IF(AUTOEVENTO="Manual",ROUND(SUMPRODUCT((CÁLCULO!$M$15:$M$59=EVENTOS!$C64)*(OFFSET(CÁLCULO!$AA$15:$AA$59,0,X$13))),2),0)</f>
        <v>0</v>
      </c>
      <c r="Y64" s="265" t="n">
        <f aca="true" t="array" ref="Y64:Y64">IF(AUTOEVENTO="Manual",ROUND(SUMPRODUCT((CÁLCULO!$M$15:$M$59=EVENTOS!$C64)*(OFFSET(CÁLCULO!$AA$15:$AA$59,0,Y$13))),2),0)</f>
        <v>0</v>
      </c>
    </row>
    <row r="65" customFormat="false" ht="4.5" hidden="false" customHeight="true" outlineLevel="0" collapsed="false">
      <c r="A65" s="178" t="s">
        <v>596</v>
      </c>
      <c r="C65" s="299"/>
      <c r="D65" s="300"/>
      <c r="E65" s="301"/>
      <c r="F65" s="302"/>
      <c r="G65" s="301"/>
      <c r="H65" s="301"/>
      <c r="I65" s="301"/>
      <c r="J65" s="301"/>
      <c r="K65" s="301"/>
      <c r="L65" s="301"/>
      <c r="M65" s="301"/>
      <c r="N65" s="301"/>
      <c r="O65" s="301"/>
      <c r="P65" s="301"/>
      <c r="Q65" s="301"/>
      <c r="R65" s="301"/>
      <c r="S65" s="301"/>
      <c r="T65" s="301"/>
      <c r="U65" s="301"/>
      <c r="V65" s="301"/>
      <c r="W65" s="301"/>
      <c r="X65" s="301"/>
      <c r="Y65" s="301"/>
    </row>
    <row r="66" customFormat="false" ht="12.75" hidden="false" customHeight="false" outlineLevel="0" collapsed="false">
      <c r="A66" s="178" t="s">
        <v>596</v>
      </c>
    </row>
    <row r="67" customFormat="false" ht="12.75" hidden="false" customHeight="false" outlineLevel="0" collapsed="false">
      <c r="A67" s="178" t="s">
        <v>596</v>
      </c>
    </row>
    <row r="68" customFormat="false" ht="13.8" hidden="false" customHeight="false" outlineLevel="0" collapsed="false">
      <c r="A68" s="178" t="s">
        <v>596</v>
      </c>
      <c r="D68" s="303" t="str">
        <f aca="false">Import.Município</f>
        <v>TRAMANDAI/RS</v>
      </c>
      <c r="L68" s="259"/>
      <c r="M68" s="46"/>
      <c r="N68" s="46"/>
      <c r="O68" s="46"/>
      <c r="V68" s="259"/>
      <c r="W68" s="46"/>
      <c r="X68" s="46"/>
      <c r="Y68" s="46"/>
    </row>
    <row r="69" customFormat="false" ht="12.75" hidden="false" customHeight="false" outlineLevel="0" collapsed="false">
      <c r="A69" s="178" t="s">
        <v>596</v>
      </c>
      <c r="D69" s="52" t="s">
        <v>755</v>
      </c>
      <c r="H69" s="304"/>
      <c r="I69" s="304"/>
      <c r="J69" s="304"/>
      <c r="L69" s="260" t="s">
        <v>758</v>
      </c>
      <c r="V69" s="260" t="s">
        <v>758</v>
      </c>
    </row>
    <row r="70" customFormat="false" ht="12.75" hidden="false" customHeight="false" outlineLevel="0" collapsed="false">
      <c r="A70" s="178" t="s">
        <v>596</v>
      </c>
      <c r="H70" s="304"/>
      <c r="I70" s="304"/>
      <c r="J70" s="304"/>
      <c r="L70" s="305" t="str">
        <f aca="true" t="array" ref="L70:L72">OFFSET(Import.RespOrçamento,0,-1) &amp; " " &amp; Import.RespOrçamento</f>
        <v>Nome: Jaqueline Ferreira / Marcio R. Maciel</v>
      </c>
      <c r="V70" s="305" t="str">
        <f aca="true" t="array" ref="V70:V72">OFFSET(Import.RespOrçamento,0,-1) &amp; " " &amp; Import.RespOrçamento</f>
        <v>Nome: Jaqueline Ferreira / Marcio R. Maciel</v>
      </c>
    </row>
    <row r="71" customFormat="false" ht="12.75" hidden="false" customHeight="false" outlineLevel="0" collapsed="false">
      <c r="A71" s="178" t="s">
        <v>596</v>
      </c>
      <c r="D71" s="306" t="n">
        <f aca="false">DADOS!$C$25</f>
        <v>46098</v>
      </c>
      <c r="L71" s="305" t="str">
        <v>CREA/CAU:  CAU A152414-3  / CREA RS236197</v>
      </c>
      <c r="V71" s="305" t="str">
        <v>CREA/CAU:  CAU A152414-3  / CREA RS236197</v>
      </c>
    </row>
    <row r="72" customFormat="false" ht="12.75" hidden="false" customHeight="false" outlineLevel="0" collapsed="false">
      <c r="A72" s="178" t="s">
        <v>596</v>
      </c>
      <c r="D72" s="52" t="s">
        <v>756</v>
      </c>
      <c r="L72" s="305" t="str">
        <v>ART/RRT: </v>
      </c>
      <c r="V72" s="305" t="str">
        <v>ART/RRT: </v>
      </c>
    </row>
  </sheetData>
  <sheetProtection algorithmName="SHA-512" hashValue="IE364r6tEbiNYsZ1PqeKvSKBFxanXeq1yV4XgxGlXH/q4mwbVGAAwuv4USUCHvfcAnV85uUJUsH2wg3AOV5hbg==" saltValue="rcftHOjYIdnnlziExeIPuA==" spinCount="100000" sheet="true" objects="true" scenarios="true" autoFilter="false"/>
  <autoFilter ref="A13:A72"/>
  <mergeCells count="24">
    <mergeCell ref="F5:M5"/>
    <mergeCell ref="P5:W5"/>
    <mergeCell ref="C8:D8"/>
    <mergeCell ref="E10:E12"/>
    <mergeCell ref="G10:G12"/>
    <mergeCell ref="H10:H12"/>
    <mergeCell ref="I10:I12"/>
    <mergeCell ref="J10:J12"/>
    <mergeCell ref="K10:K12"/>
    <mergeCell ref="L10:L12"/>
    <mergeCell ref="M10:M12"/>
    <mergeCell ref="N10:N12"/>
    <mergeCell ref="O10:O12"/>
    <mergeCell ref="P10:P12"/>
    <mergeCell ref="Q10:Q12"/>
    <mergeCell ref="R10:R12"/>
    <mergeCell ref="S10:S12"/>
    <mergeCell ref="T10:T12"/>
    <mergeCell ref="U10:U12"/>
    <mergeCell ref="V10:V12"/>
    <mergeCell ref="W10:W12"/>
    <mergeCell ref="X10:X12"/>
    <mergeCell ref="Y10:Y12"/>
    <mergeCell ref="C11:D11"/>
  </mergeCells>
  <conditionalFormatting sqref="C10:J10 E11:J11 C12:J12 K10:Y12 C13:Y15 C1:Z1 Z10:Z15 C16:Z65">
    <cfRule type="expression" priority="2" aboveAverage="0" equalAverage="0" bottom="0" percent="0" rank="0" text="" dxfId="202">
      <formula>OR(AUTOEVENTO&lt;&gt;"Manual",ACOMPANHAMENTO="BM",C$10=0,C$13=0,$C1=" ")</formula>
    </cfRule>
  </conditionalFormatting>
  <conditionalFormatting sqref="A15 C15:XFD15">
    <cfRule type="expression" priority="3" aboveAverage="0" equalAverage="0" bottom="0" percent="0" rank="0" text="" dxfId="203">
      <formula>$C$15=0</formula>
    </cfRule>
  </conditionalFormatting>
  <dataValidations count="1">
    <dataValidation allowBlank="true" error="Selecione na lista a forma de definir os agrupadores de eventos." errorStyle="stop" errorTitle="Erro:" operator="between" prompt="Selecione na lista a forma de definir os agrupadores de eventos." promptTitle="Definir Agrupadores de Eventos:" showDropDown="false" showErrorMessage="true" showInputMessage="true" sqref="C8:D8" type="list">
      <formula1>EVENTOS.Lista.Agrupar</formula1>
      <formula2>0</formula2>
    </dataValidation>
  </dataValidations>
  <printOptions headings="false" gridLines="false" gridLinesSet="true" horizontalCentered="false" verticalCentered="false"/>
  <pageMargins left="0.7875" right="0.7875" top="0.786805555555556" bottom="0.786805555555556" header="5.70833333333333" footer="0.590277777777778"/>
  <pageSetup paperSize="9" scale="100" fitToWidth="1" fitToHeight="1" pageOrder="downThenOver" orientation="portrait" blackAndWhite="false" draft="false" cellComments="none" horizontalDpi="300" verticalDpi="300" copies="1"/>
  <headerFooter differentFirst="false" differentOddEven="false">
    <oddHeader>&amp;L_</oddHeader>
    <oddFooter>&amp;LPMv3.16&amp;R&amp;P / &amp;N</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G61472"/>
  <sheetViews>
    <sheetView showFormulas="false" showGridLines="false" showRowColHeaders="true" showZeros="true" rightToLeft="false" tabSelected="true" showOutlineSymbols="true" defaultGridColor="true" view="pageBreakPreview" topLeftCell="A1" colorId="64" zoomScale="90" zoomScaleNormal="100" zoomScalePageLayoutView="90" workbookViewId="0">
      <pane xSplit="8" ySplit="15" topLeftCell="I16" activePane="bottomRight" state="frozen"/>
      <selection pane="topLeft" activeCell="A1" activeCellId="0" sqref="A1"/>
      <selection pane="topRight" activeCell="I1" activeCellId="0" sqref="I1"/>
      <selection pane="bottomLeft" activeCell="A16" activeCellId="0" sqref="A16"/>
      <selection pane="bottomRight" activeCell="R30" activeCellId="0" sqref="R30"/>
    </sheetView>
  </sheetViews>
  <sheetFormatPr defaultColWidth="8.6796875" defaultRowHeight="12.8" customHeight="false" zeroHeight="true" outlineLevelRow="0" outlineLevelCol="0"/>
  <cols>
    <col collapsed="false" customWidth="true" hidden="true" outlineLevel="0" max="1" min="1" style="48" width="15.42"/>
    <col collapsed="false" customWidth="true" hidden="true" outlineLevel="0" max="2" min="2" style="48" width="9.14"/>
    <col collapsed="false" customWidth="true" hidden="false" outlineLevel="0" max="3" min="3" style="48" width="3.57"/>
    <col collapsed="false" customWidth="true" hidden="false" outlineLevel="0" max="4" min="4" style="0" width="8.57"/>
    <col collapsed="false" customWidth="true" hidden="false" outlineLevel="0" max="5" min="5" style="0" width="12.57"/>
    <col collapsed="false" customWidth="true" hidden="false" outlineLevel="0" max="6" min="6" style="0" width="65.57"/>
    <col collapsed="false" customWidth="true" hidden="false" outlineLevel="0" max="7" min="7" style="0" width="10.57"/>
    <col collapsed="false" customWidth="true" hidden="false" outlineLevel="0" max="8" min="8" style="0" width="14.57"/>
    <col collapsed="false" customWidth="true" hidden="false" outlineLevel="0" max="9" min="9" style="0" width="29.57"/>
    <col collapsed="false" customWidth="true" hidden="false" outlineLevel="0" max="10" min="10" style="0" width="2.42"/>
    <col collapsed="false" customWidth="true" hidden="false" outlineLevel="0" max="11" min="11" style="0" width="4.57"/>
    <col collapsed="false" customWidth="true" hidden="false" outlineLevel="0" max="12" min="12" style="0" width="0.42"/>
    <col collapsed="false" customWidth="true" hidden="true" outlineLevel="0" max="13" min="13" style="48" width="9.14"/>
    <col collapsed="false" customWidth="true" hidden="false" outlineLevel="0" max="14" min="14" style="0" width="31.57"/>
    <col collapsed="false" customWidth="true" hidden="true" outlineLevel="0" max="15" min="15" style="0" width="9.14"/>
    <col collapsed="false" customWidth="true" hidden="false" outlineLevel="0" max="16" min="16" style="0" width="0.42"/>
    <col collapsed="false" customWidth="true" hidden="false" outlineLevel="0" max="26" min="17" style="0" width="11.57"/>
    <col collapsed="false" customWidth="true" hidden="true" outlineLevel="0" max="59" min="27" style="0" width="9.14"/>
    <col collapsed="false" customWidth="true" hidden="true" outlineLevel="0" max="60" min="60" style="0" width="1.57"/>
  </cols>
  <sheetData>
    <row r="1" customFormat="false" ht="12.75" hidden="true" customHeight="true" outlineLevel="0" collapsed="false">
      <c r="M1" s="48" t="n">
        <f aca="true">SUM(OFFSET(CÁLCULO!$P$1,0,1):OFFSET(CÁLCULO!$AA$1,0,-1))</f>
        <v>0</v>
      </c>
      <c r="O1" s="157" t="n">
        <f aca="false" t="array" ref="O1:O1">IF(OR(ACOMPANHAMENTO="BM",N1=0,O12=""),0,1)</f>
        <v>0</v>
      </c>
      <c r="P1" s="0" t="s">
        <v>882</v>
      </c>
      <c r="Q1" s="157" t="n">
        <f aca="false" t="array" ref="Q1:Q1">IF(OR(ACOMPANHAMENTO="BM",P1=0,Q12=""),0,1)</f>
        <v>0</v>
      </c>
      <c r="R1" s="157" t="n">
        <f aca="false" t="array" ref="R1:R1">IF(OR(ACOMPANHAMENTO="BM",Q1=0,R12=""),0,1)</f>
        <v>0</v>
      </c>
      <c r="S1" s="157" t="n">
        <f aca="false" t="array" ref="S1:S1">IF(OR(ACOMPANHAMENTO="BM",R1=0,S12=""),0,1)</f>
        <v>0</v>
      </c>
      <c r="T1" s="157" t="n">
        <f aca="false" t="array" ref="T1:T1">IF(OR(ACOMPANHAMENTO="BM",S1=0,T12=""),0,1)</f>
        <v>0</v>
      </c>
      <c r="U1" s="157" t="n">
        <f aca="false" t="array" ref="U1:U1">IF(OR(ACOMPANHAMENTO="BM",T1=0,U12=""),0,1)</f>
        <v>0</v>
      </c>
      <c r="V1" s="157" t="n">
        <f aca="false" t="array" ref="V1:V1">IF(OR(ACOMPANHAMENTO="BM",U1=0,V12=""),0,1)</f>
        <v>0</v>
      </c>
      <c r="W1" s="157" t="n">
        <f aca="false" t="array" ref="W1:W1">IF(OR(ACOMPANHAMENTO="BM",V1=0,W12=""),0,1)</f>
        <v>0</v>
      </c>
      <c r="X1" s="157" t="n">
        <f aca="false" t="array" ref="X1:X1">IF(OR(ACOMPANHAMENTO="BM",W1=0,X12=""),0,1)</f>
        <v>0</v>
      </c>
      <c r="Y1" s="157" t="n">
        <f aca="false" t="array" ref="Y1:Y1">IF(OR(ACOMPANHAMENTO="BM",X1=0,Y12=""),0,1)</f>
        <v>0</v>
      </c>
      <c r="Z1" s="157" t="n">
        <f aca="false" t="array" ref="Z1:Z1">IF(OR(ACOMPANHAMENTO="BM",Y1=0,Z12=""),0,1)</f>
        <v>0</v>
      </c>
      <c r="AB1" s="0" t="s">
        <v>883</v>
      </c>
      <c r="AM1" s="0" t="s">
        <v>884</v>
      </c>
      <c r="AX1" s="0" t="s">
        <v>885</v>
      </c>
    </row>
    <row r="2" customFormat="false" ht="12.75" hidden="true" customHeight="true" outlineLevel="0" collapsed="false"/>
    <row r="3" customFormat="false" ht="12.75" hidden="true" customHeight="true" outlineLevel="0" collapsed="false"/>
    <row r="4" customFormat="false" ht="12.75" hidden="true" customHeight="true" outlineLevel="0" collapsed="false"/>
    <row r="5" customFormat="false" ht="12.75" hidden="true" customHeight="true" outlineLevel="0" collapsed="false"/>
    <row r="6" customFormat="false" ht="15.75" hidden="false" customHeight="true" outlineLevel="0" collapsed="false">
      <c r="F6" s="307" t="str">
        <f aca="false" t="array" ref="F6:F6">IF(ACOMPANHAMENTO="BM","MEMÓRIA DE CÁLCULO","PLQ - PLANILHA DE LEVANTAMENTO DE QUANTIDADES")</f>
        <v>MEMÓRIA DE CÁLCULO</v>
      </c>
      <c r="G6" s="307"/>
      <c r="H6" s="307"/>
      <c r="I6" s="308"/>
      <c r="K6" s="308"/>
      <c r="L6" s="308"/>
      <c r="M6" s="309"/>
      <c r="N6" s="308"/>
      <c r="P6" s="308"/>
      <c r="Q6" s="98" t="s">
        <v>704</v>
      </c>
      <c r="R6" s="98"/>
      <c r="Y6" s="98" t="s">
        <v>704</v>
      </c>
      <c r="Z6" s="98"/>
    </row>
    <row r="7" customFormat="false" ht="15" hidden="false" customHeight="true" outlineLevel="0" collapsed="false">
      <c r="F7" s="310" t="str">
        <f aca="false" t="array" ref="F7:F7">IF(ACOMPANHAMENTO="BM","","Memória de Cálculo")&amp;" - "&amp;import.recurso</f>
        <v> - OGU</v>
      </c>
      <c r="G7" s="310"/>
      <c r="H7" s="310"/>
      <c r="I7" s="311"/>
      <c r="K7" s="311"/>
      <c r="L7" s="311"/>
      <c r="M7" s="312"/>
      <c r="N7" s="311"/>
      <c r="P7" s="311"/>
      <c r="Q7" s="58" t="s">
        <v>707</v>
      </c>
      <c r="R7" s="58"/>
      <c r="Y7" s="58" t="s">
        <v>707</v>
      </c>
      <c r="Z7" s="58"/>
    </row>
    <row r="8" customFormat="false" ht="12.75" hidden="false" customHeight="true" outlineLevel="0" collapsed="false">
      <c r="AE8" s="313"/>
    </row>
    <row r="9" customFormat="false" ht="12.75" hidden="false" customHeight="true" outlineLevel="0" collapsed="false">
      <c r="E9" s="101" t="s">
        <v>775</v>
      </c>
      <c r="F9" s="101"/>
      <c r="G9" s="101" t="s">
        <v>774</v>
      </c>
      <c r="H9" s="101"/>
      <c r="I9" s="161" t="s">
        <v>710</v>
      </c>
      <c r="K9" s="314" t="s">
        <v>712</v>
      </c>
      <c r="L9" s="315"/>
      <c r="M9" s="315"/>
      <c r="N9" s="315"/>
      <c r="O9" s="315"/>
      <c r="P9" s="315"/>
      <c r="Q9" s="315"/>
      <c r="R9" s="316"/>
      <c r="S9" s="101" t="s">
        <v>710</v>
      </c>
      <c r="T9" s="101"/>
      <c r="U9" s="101" t="s">
        <v>712</v>
      </c>
      <c r="V9" s="101"/>
      <c r="W9" s="101"/>
      <c r="X9" s="101"/>
      <c r="Y9" s="101"/>
      <c r="Z9" s="101"/>
    </row>
    <row r="10" customFormat="false" ht="12.75" hidden="false" customHeight="true" outlineLevel="0" collapsed="false">
      <c r="A10" s="317" t="s">
        <v>886</v>
      </c>
      <c r="E10" s="102" t="str">
        <f aca="false">Import.Apelido</f>
        <v>REVITALAIZAÇÃO DA ORLA DA BEIRA RIO</v>
      </c>
      <c r="F10" s="102"/>
      <c r="G10" s="102" t="n">
        <f aca="false">Import.TransfereGOV</f>
        <v>0</v>
      </c>
      <c r="H10" s="102"/>
      <c r="I10" s="163" t="n">
        <f aca="false">Import.CR</f>
        <v>0</v>
      </c>
      <c r="K10" s="318" t="str">
        <f aca="false">Import.Proponente</f>
        <v>PREFEITURA MUNICIPAL DE TRAMANDAI</v>
      </c>
      <c r="L10" s="319"/>
      <c r="M10" s="182"/>
      <c r="N10" s="319"/>
      <c r="O10" s="319"/>
      <c r="P10" s="319"/>
      <c r="Q10" s="319"/>
      <c r="R10" s="164"/>
      <c r="S10" s="102" t="n">
        <f aca="false">Import.CR</f>
        <v>0</v>
      </c>
      <c r="T10" s="102"/>
      <c r="U10" s="102" t="str">
        <f aca="false">Import.Proponente</f>
        <v>PREFEITURA MUNICIPAL DE TRAMANDAI</v>
      </c>
      <c r="V10" s="102"/>
      <c r="W10" s="102"/>
      <c r="X10" s="102"/>
      <c r="Y10" s="102"/>
      <c r="Z10" s="102"/>
    </row>
    <row r="11" customFormat="false" ht="15" hidden="false" customHeight="true" outlineLevel="0" collapsed="false">
      <c r="A11" s="162" t="str">
        <f aca="false">IF(AND(Import.TipoArredondamento="Tradicional",AUTOEVENTO="Manual"),"Automática",IF(CRONOPLE!$B$8="","Sem Adm","Manual"))</f>
        <v>Sem Adm</v>
      </c>
      <c r="F11" s="320" t="str">
        <f aca="false">IF(AND(ACOMPANHAMENTO="PLE",ISERROR(AUTOEVENTO)),"Selecione a forma de definição dos agrupadores de eventos na aba EVENTOS",
  IF(AND(ACOMPANHAMENTO="PLE",CÁLCULO.FrentesPreenchidas=0),"Preencher os nomes das Frentes de Obra",
  IF(COUNTIF($J$15:$J$59,"►E")&gt;0,"Não pode haver serviços sem agrupador de eventos",
  IF(COUNTIF($P$11:$AA$11,"▼")&gt;0,"Não pode haver frentes de obra sem quantidades",
  IF(COUNTIF($P$11:$AA$11,"Nome &gt;100")&gt;0,"Nome da frente de obra com mais de 100 caracteres","")))))</f>
        <v/>
      </c>
      <c r="N11" s="321" t="str">
        <f aca="false">IF(OR(COUNTIF($J$15:$J$59,"►E")&gt;0,COUNTIF($J$15:$J$59,"►Q")&gt;0),"",
IF(COUNTIF($J$15:$J$59,"►S")&gt;0,"Preencha as quantidades com no máximo duas casas decimais",
IF(COUNTIF($P$11:$AA$11,"▼")&gt;0,"Falta preencher a frente de obra nº " &amp; HLOOKUP("▼",$P$11:$AA$13,3,FALSE()),
IF(COUNTIF($P$11:$AA$11,"Nome &gt;100")&gt;0,"Resuma o nome da frente de obra nº " &amp; HLOOKUP("Nome &gt;100",$P$11:$AA$13,3,FALSE()),""))))</f>
        <v/>
      </c>
      <c r="O11" s="322" t="e">
        <f aca="false">IF(AND(O1=1,O15=0),"▼",IF(AND(O1=1,LEN(O12)&gt;100),"Nome &gt;100",""))</f>
        <v>#VALUE!</v>
      </c>
      <c r="P11" s="48"/>
      <c r="Q11" s="322" t="str">
        <f aca="false">IF(AND(Q1=1,Q15=0),"▼",IF(AND(Q1=1,LEN(Q12)&gt;100),"Nome &gt;100",""))</f>
        <v/>
      </c>
      <c r="R11" s="322" t="str">
        <f aca="false">IF(AND(R1=1,R15=0),"▼",IF(AND(R1=1,LEN(R12)&gt;100),"Nome &gt;100",""))</f>
        <v/>
      </c>
      <c r="S11" s="322" t="str">
        <f aca="false">IF(AND(S1=1,S15=0),"▼",IF(AND(S1=1,LEN(S12)&gt;100),"Nome &gt;100",""))</f>
        <v/>
      </c>
      <c r="T11" s="322" t="str">
        <f aca="false">IF(AND(T1=1,T15=0),"▼",IF(AND(T1=1,LEN(T12)&gt;100),"Nome &gt;100",""))</f>
        <v/>
      </c>
      <c r="U11" s="322" t="str">
        <f aca="false">IF(AND(U1=1,U15=0),"▼",IF(AND(U1=1,LEN(U12)&gt;100),"Nome &gt;100",""))</f>
        <v/>
      </c>
      <c r="V11" s="322" t="str">
        <f aca="false">IF(AND(V1=1,V15=0),"▼",IF(AND(V1=1,LEN(V12)&gt;100),"Nome &gt;100",""))</f>
        <v/>
      </c>
      <c r="W11" s="322" t="str">
        <f aca="false">IF(AND(W1=1,W15=0),"▼",IF(AND(W1=1,LEN(W12)&gt;100),"Nome &gt;100",""))</f>
        <v/>
      </c>
      <c r="X11" s="322" t="str">
        <f aca="false">IF(AND(X1=1,X15=0),"▼",IF(AND(X1=1,LEN(X12)&gt;100),"Nome &gt;100",""))</f>
        <v/>
      </c>
      <c r="Y11" s="322" t="str">
        <f aca="false">IF(AND(Y1=1,Y15=0),"▼",IF(AND(Y1=1,LEN(Y12)&gt;100),"Nome &gt;100",""))</f>
        <v/>
      </c>
      <c r="Z11" s="322" t="str">
        <f aca="false">IF(AND(Z1=1,Z15=0),"▼",IF(AND(Z1=1,LEN(Z12)&gt;100),"Nome &gt;100",""))</f>
        <v/>
      </c>
    </row>
    <row r="12" customFormat="false" ht="69.75" hidden="false" customHeight="true" outlineLevel="0" collapsed="false">
      <c r="A12" s="323" t="n">
        <f aca="false">IF(Import.Eventos.Nível="Definir Manualmente","Manual",MATCH(Import.Eventos.Nível,EVENTOS!$B$6:$B$9,0)+1)</f>
        <v>2</v>
      </c>
      <c r="B12" s="48" t="s">
        <v>887</v>
      </c>
      <c r="C12" s="324" t="s">
        <v>715</v>
      </c>
      <c r="H12" s="325"/>
      <c r="I12" s="326" t="str">
        <f aca="false">IF(AND(ACOMPANHAMENTO="PLE",CÁLCULO.FrentesPreenchidas=0),"",
  IF(COUNTIF($J$15:$J$59,"►E")&gt;0,"Falta Definir o Agrupador de Evento na linha "&amp;MATCH("►E",$J$15:$J$59,0)+ROW($J$14),
  IF(COUNTIF($J$15:$J$59,"►Q")&gt;0,"Falta preencher a quantidade do serviço na linha "&amp;MATCH("►Q",$J$15:$J$59,0)+ROW($J$14),
  IF(COUNTIF($J$15:$J$59,"►S")&gt;0,"Verifique as quantidades preenchidas na linha "&amp;MATCH("►S",$J$15:$J$59,0)+ROW($J$14),
  IF(AND(COUNTIF($P$11:$AA$11,"▼")=0,COUNTIF($J$15:$J$59,"◄")&gt;0),"Falta Preencher o Memorial de Cálculo na linha "&amp;MATCH("◄",$J$15:$J$59,0)+ROW($J$14),"")))))</f>
        <v/>
      </c>
      <c r="J12" s="28" t="s">
        <v>882</v>
      </c>
      <c r="K12" s="327" t="s">
        <v>888</v>
      </c>
      <c r="L12" s="28" t="s">
        <v>882</v>
      </c>
      <c r="M12" s="328" t="n">
        <f aca="false" t="array" ref="M12:M12">IF(ACOMPANHAMENTO="BM",0,MAX($M$15:$M$59))</f>
        <v>0</v>
      </c>
      <c r="N12" s="329" t="str">
        <f aca="false">IF(AND(ACOMPANHAMENTO="PLE",CÁLCULO.FrentesPreenchidas=0),"Preencher os nomes das Frentes de Obra ►","FRENTES DE OBRA:")</f>
        <v>FRENTES DE OBRA:</v>
      </c>
      <c r="O12" s="330"/>
      <c r="P12" s="28" t="s">
        <v>882</v>
      </c>
      <c r="Q12" s="331"/>
      <c r="R12" s="330"/>
      <c r="S12" s="330"/>
      <c r="T12" s="332"/>
      <c r="U12" s="330"/>
      <c r="V12" s="330"/>
      <c r="W12" s="330"/>
      <c r="X12" s="330"/>
      <c r="Y12" s="330"/>
      <c r="Z12" s="333"/>
      <c r="AA12" s="28" t="s">
        <v>882</v>
      </c>
      <c r="AB12" s="334" t="n">
        <f aca="true">IF(OFFSET($P$1,0,AB$13)=0,0,OFFSET($P$12,0,AB$13))</f>
        <v>0</v>
      </c>
      <c r="AC12" s="334" t="n">
        <f aca="true">IF(OFFSET($P$1,0,AC$13)=0,0,OFFSET($P$12,0,AC$13))</f>
        <v>0</v>
      </c>
      <c r="AD12" s="334" t="n">
        <f aca="true">IF(OFFSET($P$1,0,AD$13)=0,0,OFFSET($P$12,0,AD$13))</f>
        <v>0</v>
      </c>
      <c r="AE12" s="334" t="n">
        <f aca="true">IF(OFFSET($P$1,0,AE$13)=0,0,OFFSET($P$12,0,AE$13))</f>
        <v>0</v>
      </c>
      <c r="AF12" s="334" t="n">
        <f aca="true">IF(OFFSET($P$1,0,AF$13)=0,0,OFFSET($P$12,0,AF$13))</f>
        <v>0</v>
      </c>
      <c r="AG12" s="334" t="n">
        <f aca="true">IF(OFFSET($P$1,0,AG$13)=0,0,OFFSET($P$12,0,AG$13))</f>
        <v>0</v>
      </c>
      <c r="AH12" s="334" t="n">
        <f aca="true">IF(OFFSET($P$1,0,AH$13)=0,0,OFFSET($P$12,0,AH$13))</f>
        <v>0</v>
      </c>
      <c r="AI12" s="334" t="n">
        <f aca="true">IF(OFFSET($P$1,0,AI$13)=0,0,OFFSET($P$12,0,AI$13))</f>
        <v>0</v>
      </c>
      <c r="AJ12" s="334" t="n">
        <f aca="true">IF(OFFSET($P$1,0,AJ$13)=0,0,OFFSET($P$12,0,AJ$13))</f>
        <v>0</v>
      </c>
      <c r="AK12" s="334" t="n">
        <f aca="true">IF(OFFSET($P$1,0,AK$13)=0,0,OFFSET($P$12,0,AK$13))</f>
        <v>0</v>
      </c>
      <c r="AM12" s="334" t="n">
        <f aca="true">IF(OFFSET($P$1,0,AM$13)=0,0,OFFSET($P$12,0,AM$13))</f>
        <v>0</v>
      </c>
      <c r="AN12" s="335" t="n">
        <f aca="true">IF(OFFSET($P$1,0,AN$13)=0,0,OFFSET($P$12,0,AN$13))</f>
        <v>0</v>
      </c>
      <c r="AO12" s="335" t="n">
        <f aca="true">IF(OFFSET($P$1,0,AO$13)=0,0,OFFSET($P$12,0,AO$13))</f>
        <v>0</v>
      </c>
      <c r="AP12" s="335" t="n">
        <f aca="true">IF(OFFSET($P$1,0,AP$13)=0,0,OFFSET($P$12,0,AP$13))</f>
        <v>0</v>
      </c>
      <c r="AQ12" s="335" t="n">
        <f aca="true">IF(OFFSET($P$1,0,AQ$13)=0,0,OFFSET($P$12,0,AQ$13))</f>
        <v>0</v>
      </c>
      <c r="AR12" s="335" t="n">
        <f aca="true">IF(OFFSET($P$1,0,AR$13)=0,0,OFFSET($P$12,0,AR$13))</f>
        <v>0</v>
      </c>
      <c r="AS12" s="335" t="n">
        <f aca="true">IF(OFFSET($P$1,0,AS$13)=0,0,OFFSET($P$12,0,AS$13))</f>
        <v>0</v>
      </c>
      <c r="AT12" s="335" t="n">
        <f aca="true">IF(OFFSET($P$1,0,AT$13)=0,0,OFFSET($P$12,0,AT$13))</f>
        <v>0</v>
      </c>
      <c r="AU12" s="335" t="n">
        <f aca="true">IF(OFFSET($P$1,0,AU$13)=0,0,OFFSET($P$12,0,AU$13))</f>
        <v>0</v>
      </c>
      <c r="AV12" s="336" t="n">
        <f aca="true">IF(OFFSET($P$1,0,AV$13)=0,0,OFFSET($P$12,0,AV$13))</f>
        <v>0</v>
      </c>
      <c r="AX12" s="334" t="n">
        <f aca="true">IF(OFFSET($P$1,0,AX$13)=0,0,OFFSET($P$12,0,AX$13))</f>
        <v>0</v>
      </c>
      <c r="AY12" s="335" t="n">
        <f aca="true">IF(OFFSET($P$1,0,AY$13)=0,0,OFFSET($P$12,0,AY$13))</f>
        <v>0</v>
      </c>
      <c r="AZ12" s="335" t="n">
        <f aca="true">IF(OFFSET($P$1,0,AZ$13)=0,0,OFFSET($P$12,0,AZ$13))</f>
        <v>0</v>
      </c>
      <c r="BA12" s="335" t="n">
        <f aca="true">IF(OFFSET($P$1,0,BA$13)=0,0,OFFSET($P$12,0,BA$13))</f>
        <v>0</v>
      </c>
      <c r="BB12" s="335" t="n">
        <f aca="true">IF(OFFSET($P$1,0,BB$13)=0,0,OFFSET($P$12,0,BB$13))</f>
        <v>0</v>
      </c>
      <c r="BC12" s="335" t="n">
        <f aca="true">IF(OFFSET($P$1,0,BC$13)=0,0,OFFSET($P$12,0,BC$13))</f>
        <v>0</v>
      </c>
      <c r="BD12" s="335" t="n">
        <f aca="true">IF(OFFSET($P$1,0,BD$13)=0,0,OFFSET($P$12,0,BD$13))</f>
        <v>0</v>
      </c>
      <c r="BE12" s="335" t="n">
        <f aca="true">IF(OFFSET($P$1,0,BE$13)=0,0,OFFSET($P$12,0,BE$13))</f>
        <v>0</v>
      </c>
      <c r="BF12" s="335" t="n">
        <f aca="true">IF(OFFSET($P$1,0,BF$13)=0,0,OFFSET($P$12,0,BF$13))</f>
        <v>0</v>
      </c>
      <c r="BG12" s="336" t="n">
        <f aca="true">IF(OFFSET($P$1,0,BG$13)=0,0,OFFSET($P$12,0,BG$13))</f>
        <v>0</v>
      </c>
    </row>
    <row r="13" customFormat="false" ht="12.75" hidden="false" customHeight="true" outlineLevel="0" collapsed="false">
      <c r="A13" s="58" t="s">
        <v>889</v>
      </c>
      <c r="B13" s="48" t="s">
        <v>887</v>
      </c>
      <c r="C13" s="337" t="s">
        <v>720</v>
      </c>
      <c r="D13" s="194" t="s">
        <v>805</v>
      </c>
      <c r="E13" s="194" t="s">
        <v>807</v>
      </c>
      <c r="F13" s="194" t="s">
        <v>161</v>
      </c>
      <c r="G13" s="196" t="s">
        <v>810</v>
      </c>
      <c r="H13" s="194" t="s">
        <v>781</v>
      </c>
      <c r="I13" s="194" t="s">
        <v>890</v>
      </c>
      <c r="J13" s="338"/>
      <c r="K13" s="202" t="s">
        <v>891</v>
      </c>
      <c r="L13" s="28"/>
      <c r="M13" s="194" t="s">
        <v>892</v>
      </c>
      <c r="N13" s="194" t="s">
        <v>893</v>
      </c>
      <c r="O13" s="339" t="e">
        <f aca="true">OFFSET(O13,0,-1)+1</f>
        <v>#VALUE!</v>
      </c>
      <c r="Q13" s="200" t="n">
        <f aca="true">OFFSET(Q13,0,-1)+1</f>
        <v>1</v>
      </c>
      <c r="R13" s="339" t="n">
        <f aca="true">OFFSET(R13,0,-1)+1</f>
        <v>2</v>
      </c>
      <c r="S13" s="339" t="n">
        <f aca="true">OFFSET(S13,0,-1)+1</f>
        <v>3</v>
      </c>
      <c r="T13" s="339" t="n">
        <f aca="true">OFFSET(T13,0,-1)+1</f>
        <v>4</v>
      </c>
      <c r="U13" s="339" t="n">
        <f aca="true">OFFSET(U13,0,-1)+1</f>
        <v>5</v>
      </c>
      <c r="V13" s="339" t="n">
        <f aca="true">OFFSET(V13,0,-1)+1</f>
        <v>6</v>
      </c>
      <c r="W13" s="339" t="n">
        <f aca="true">OFFSET(W13,0,-1)+1</f>
        <v>7</v>
      </c>
      <c r="X13" s="339" t="n">
        <f aca="true">OFFSET(X13,0,-1)+1</f>
        <v>8</v>
      </c>
      <c r="Y13" s="339" t="n">
        <f aca="true">OFFSET(Y13,0,-1)+1</f>
        <v>9</v>
      </c>
      <c r="Z13" s="203" t="n">
        <f aca="true">OFFSET(Z13,0,-1)+1</f>
        <v>10</v>
      </c>
      <c r="AB13" s="340" t="n">
        <f aca="true">OFFSET(AB13,0,-1)+1</f>
        <v>1</v>
      </c>
      <c r="AC13" s="341" t="n">
        <f aca="true">OFFSET(AC13,0,-1)+1</f>
        <v>2</v>
      </c>
      <c r="AD13" s="341" t="n">
        <f aca="true">OFFSET(AD13,0,-1)+1</f>
        <v>3</v>
      </c>
      <c r="AE13" s="341" t="n">
        <f aca="true">OFFSET(AE13,0,-1)+1</f>
        <v>4</v>
      </c>
      <c r="AF13" s="341" t="n">
        <f aca="true">OFFSET(AF13,0,-1)+1</f>
        <v>5</v>
      </c>
      <c r="AG13" s="341" t="n">
        <f aca="true">OFFSET(AG13,0,-1)+1</f>
        <v>6</v>
      </c>
      <c r="AH13" s="341" t="n">
        <f aca="true">OFFSET(AH13,0,-1)+1</f>
        <v>7</v>
      </c>
      <c r="AI13" s="341" t="n">
        <f aca="true">OFFSET(AI13,0,-1)+1</f>
        <v>8</v>
      </c>
      <c r="AJ13" s="341" t="n">
        <f aca="true">OFFSET(AJ13,0,-1)+1</f>
        <v>9</v>
      </c>
      <c r="AK13" s="342" t="n">
        <f aca="true">OFFSET(AK13,0,-1)+1</f>
        <v>10</v>
      </c>
      <c r="AM13" s="340" t="n">
        <f aca="true">OFFSET(AM13,0,-1)+1</f>
        <v>1</v>
      </c>
      <c r="AN13" s="341" t="n">
        <f aca="true">OFFSET(AN13,0,-1)+1</f>
        <v>2</v>
      </c>
      <c r="AO13" s="341" t="n">
        <f aca="true">OFFSET(AO13,0,-1)+1</f>
        <v>3</v>
      </c>
      <c r="AP13" s="341" t="n">
        <f aca="true">OFFSET(AP13,0,-1)+1</f>
        <v>4</v>
      </c>
      <c r="AQ13" s="341" t="n">
        <f aca="true">OFFSET(AQ13,0,-1)+1</f>
        <v>5</v>
      </c>
      <c r="AR13" s="341" t="n">
        <f aca="true">OFFSET(AR13,0,-1)+1</f>
        <v>6</v>
      </c>
      <c r="AS13" s="341" t="n">
        <f aca="true">OFFSET(AS13,0,-1)+1</f>
        <v>7</v>
      </c>
      <c r="AT13" s="341" t="n">
        <f aca="true">OFFSET(AT13,0,-1)+1</f>
        <v>8</v>
      </c>
      <c r="AU13" s="341" t="n">
        <f aca="true">OFFSET(AU13,0,-1)+1</f>
        <v>9</v>
      </c>
      <c r="AV13" s="342" t="n">
        <f aca="true">OFFSET(AV13,0,-1)+1</f>
        <v>10</v>
      </c>
      <c r="AX13" s="340" t="n">
        <f aca="true">OFFSET(AX13,0,-1)+1</f>
        <v>1</v>
      </c>
      <c r="AY13" s="341" t="n">
        <f aca="true">OFFSET(AY13,0,-1)+1</f>
        <v>2</v>
      </c>
      <c r="AZ13" s="341" t="n">
        <f aca="true">OFFSET(AZ13,0,-1)+1</f>
        <v>3</v>
      </c>
      <c r="BA13" s="341" t="n">
        <f aca="true">OFFSET(BA13,0,-1)+1</f>
        <v>4</v>
      </c>
      <c r="BB13" s="341" t="n">
        <f aca="true">OFFSET(BB13,0,-1)+1</f>
        <v>5</v>
      </c>
      <c r="BC13" s="341" t="n">
        <f aca="true">OFFSET(BC13,0,-1)+1</f>
        <v>6</v>
      </c>
      <c r="BD13" s="341" t="n">
        <f aca="true">OFFSET(BD13,0,-1)+1</f>
        <v>7</v>
      </c>
      <c r="BE13" s="341" t="n">
        <f aca="true">OFFSET(BE13,0,-1)+1</f>
        <v>8</v>
      </c>
      <c r="BF13" s="341" t="n">
        <f aca="true">OFFSET(BF13,0,-1)+1</f>
        <v>9</v>
      </c>
      <c r="BG13" s="342" t="n">
        <f aca="true">OFFSET(BG13,0,-1)+1</f>
        <v>10</v>
      </c>
    </row>
    <row r="14" customFormat="false" ht="12.75" hidden="true" customHeight="false" outlineLevel="0" collapsed="false">
      <c r="A14" s="48" t="str">
        <f aca="true">IFERROR(IF(AUTOEVENTO="Manual",IF(K14&lt;&gt;"",MIN(VALUE(LEFT(K14,FIND(".",K14)-1)),COUNTA(EVENTOS.Lista)),0),IF(OR($B14&gt;AUTOEVENTO,$B14="S",$B14=0),SUBSTITUTE(OFFSET($A14,-1,0),IF($D14="Serviço",".",""),""),$L14&amp;".")),0)</f>
        <v>1.</v>
      </c>
      <c r="B14" s="48" t="n">
        <f aca="true">OFFSET(ORÇAMENTO!C$15,$L14,0)</f>
        <v>1</v>
      </c>
      <c r="C14" s="48" t="str">
        <f aca="true">OFFSET(ORÇAMENTO!L$15,$L14,0)</f>
        <v>F</v>
      </c>
      <c r="D14" s="206" t="str">
        <f aca="true">OFFSET(ORÇAMENTO!N$15,$L14,0)</f>
        <v>Meta</v>
      </c>
      <c r="E14" s="207" t="str">
        <f aca="true">OFFSET(ORÇAMENTO!O$15,$L14,0)</f>
        <v>1.</v>
      </c>
      <c r="F14" s="343" t="str">
        <f aca="true">OFFSET(ORÇAMENTO!R$15,$L14,0)</f>
        <v>REVITALIZAÇÃO DA ORLA DA BEIRA RIO </v>
      </c>
      <c r="G14" s="344" t="str">
        <f aca="true">IF($D14&lt;&gt;"Serviço","",OFFSET(ORÇAMENTO!S$15,$L14,0))</f>
        <v/>
      </c>
      <c r="H14" s="212" t="n">
        <f aca="true" t="array" ref="H14:H14">IF($D14&lt;&gt;"Serviço",0,IF(ACOMPANHAMENTO="BM",ROUND(OFFSET(ORÇAMENTO!AJ$15,$L14,0),15-13*ORÇAMENTO!$AF$7),IF(IFERROR(CÁLCULO.FrentesPreenchidas,0)=0,0,SUM(ROUND(OFFSET($P14,0,1,1,CÁLCULO.FrentesPreenchidas),15-13*ORÇAMENTO!$AF$7)))))</f>
        <v>0</v>
      </c>
      <c r="I14" s="345"/>
      <c r="J14" s="346" t="str">
        <f aca="false" t="array" ref="J14:J14">IF(OR(B14&lt;&gt;"S",CÁLCULO.FrentesPreenchidas=0),"",IF(AND(ACOMPANHAMENTO="PLE",AUTOEVENTO="Manual",OR(H14&gt;0,ORÇAMENTO!AC14="QUANT."),OR(K14="",M14=0,N14="")),"►E",IF(AND(ACOMPANHAMENTO="PLE",ORÇAMENTO!AC14="QUANT."),"►Q",IF(AND(ACOMPANHAMENTO="PLE",H14&lt;&gt;SUMPRODUCT(($Q$1:$AA$1=1)*ROUND(Q14:AA14,15))),"►S",IF(AND(COUNTIF($P$11:$AA$11,"▼")=0,H14&gt;0,I14=""),"◄M","")))))</f>
        <v/>
      </c>
      <c r="K14" s="347"/>
      <c r="L14" s="348" t="n">
        <f aca="true">OFFSET(L14,-1,0)+1</f>
        <v>1</v>
      </c>
      <c r="M14" s="349" t="str">
        <f aca="true">IF($D14&lt;&gt;"Serviço","",
          IF(AUTOEVENTO="manual",$A14,
                IF(ISERROR(MATCH($A14,$A$15:OFFSET($A14,-1,0),0)),MAX($M$15:OFFSET(M14,-1,0))+1,
                      INDEX($M$15:OFFSET(M14,-1,0),MATCH($A14,$A$15:OFFSET($A14,-1,0),0)))))</f>
        <v/>
      </c>
      <c r="N14" s="350" t="str">
        <f aca="true">IF($D14&lt;&gt;"Serviço","",
         IF(AUTOEVENTO="Manual",
                IF($A14=0,"&lt;-- defina o número do agrupador",
                       OFFSET(EVENTOS!$D$15,$A14-$A$15,0)),
                OFFSET($F$15,$A14,0)))</f>
        <v/>
      </c>
      <c r="O14" s="351"/>
      <c r="Q14" s="351"/>
      <c r="R14" s="352"/>
      <c r="S14" s="352"/>
      <c r="T14" s="352"/>
      <c r="U14" s="352"/>
      <c r="V14" s="352"/>
      <c r="W14" s="352"/>
      <c r="X14" s="352"/>
      <c r="Y14" s="352"/>
      <c r="Z14" s="353"/>
      <c r="AB14" s="354" t="n">
        <f aca="true">IF(AND($D14="Serviço",AB$12&lt;&gt;0,$H14&gt;0,OR(AUTOEVENTO&lt;&gt;"manual",$M14&lt;&gt;$A$15)),
        IF(Import.TipoArredondamento&lt;&gt;"TransfereGOV",
              ROUND(OFFSET($P14,0,AB$13),15-13*ORÇAMENTO!$AF$7)/$H14*OFFSET(ORÇAMENTO!$X$15,ROW(AB14)-ROW(AB$15),0),
              ROUND(ROUND(OFFSET($P14,0,AB$13),15-13*ORÇAMENTO!$AF$7)*OFFSET(ORÇAMENTO!$W$15,ROW(AB14)-ROW(AB$15),0),15-13*ORÇAMENTO!$AF$11)),
         0)</f>
        <v>0</v>
      </c>
      <c r="AC14" s="354" t="n">
        <f aca="true">IF(AND($D14="Serviço",AC$12&lt;&gt;0,$H14&gt;0,OR(AUTOEVENTO&lt;&gt;"manual",$M14&lt;&gt;$A$15)),
        IF(Import.TipoArredondamento&lt;&gt;"TransfereGOV",
              ROUND(OFFSET($P14,0,AC$13),15-13*ORÇAMENTO!$AF$7)/$H14*OFFSET(ORÇAMENTO!$X$15,ROW(AC14)-ROW(AC$15),0),
              ROUND(ROUND(OFFSET($P14,0,AC$13),15-13*ORÇAMENTO!$AF$7)*OFFSET(ORÇAMENTO!$W$15,ROW(AC14)-ROW(AC$15),0),15-13*ORÇAMENTO!$AF$11)),
         0)</f>
        <v>0</v>
      </c>
      <c r="AD14" s="354" t="n">
        <f aca="true">IF(AND($D14="Serviço",AD$12&lt;&gt;0,$H14&gt;0,OR(AUTOEVENTO&lt;&gt;"manual",$M14&lt;&gt;$A$15)),
        IF(Import.TipoArredondamento&lt;&gt;"TransfereGOV",
              ROUND(OFFSET($P14,0,AD$13),15-13*ORÇAMENTO!$AF$7)/$H14*OFFSET(ORÇAMENTO!$X$15,ROW(AD14)-ROW(AD$15),0),
              ROUND(ROUND(OFFSET($P14,0,AD$13),15-13*ORÇAMENTO!$AF$7)*OFFSET(ORÇAMENTO!$W$15,ROW(AD14)-ROW(AD$15),0),15-13*ORÇAMENTO!$AF$11)),
         0)</f>
        <v>0</v>
      </c>
      <c r="AE14" s="354" t="n">
        <f aca="true">IF(AND($D14="Serviço",AE$12&lt;&gt;0,$H14&gt;0,OR(AUTOEVENTO&lt;&gt;"manual",$M14&lt;&gt;$A$15)),
        IF(Import.TipoArredondamento&lt;&gt;"TransfereGOV",
              ROUND(OFFSET($P14,0,AE$13),15-13*ORÇAMENTO!$AF$7)/$H14*OFFSET(ORÇAMENTO!$X$15,ROW(AE14)-ROW(AE$15),0),
              ROUND(ROUND(OFFSET($P14,0,AE$13),15-13*ORÇAMENTO!$AF$7)*OFFSET(ORÇAMENTO!$W$15,ROW(AE14)-ROW(AE$15),0),15-13*ORÇAMENTO!$AF$11)),
         0)</f>
        <v>0</v>
      </c>
      <c r="AF14" s="354" t="n">
        <f aca="true">IF(AND($D14="Serviço",AF$12&lt;&gt;0,$H14&gt;0,OR(AUTOEVENTO&lt;&gt;"manual",$M14&lt;&gt;$A$15)),
        IF(Import.TipoArredondamento&lt;&gt;"TransfereGOV",
              ROUND(OFFSET($P14,0,AF$13),15-13*ORÇAMENTO!$AF$7)/$H14*OFFSET(ORÇAMENTO!$X$15,ROW(AF14)-ROW(AF$15),0),
              ROUND(ROUND(OFFSET($P14,0,AF$13),15-13*ORÇAMENTO!$AF$7)*OFFSET(ORÇAMENTO!$W$15,ROW(AF14)-ROW(AF$15),0),15-13*ORÇAMENTO!$AF$11)),
         0)</f>
        <v>0</v>
      </c>
      <c r="AG14" s="354" t="n">
        <f aca="true">IF(AND($D14="Serviço",AG$12&lt;&gt;0,$H14&gt;0,OR(AUTOEVENTO&lt;&gt;"manual",$M14&lt;&gt;$A$15)),
        IF(Import.TipoArredondamento&lt;&gt;"TransfereGOV",
              ROUND(OFFSET($P14,0,AG$13),15-13*ORÇAMENTO!$AF$7)/$H14*OFFSET(ORÇAMENTO!$X$15,ROW(AG14)-ROW(AG$15),0),
              ROUND(ROUND(OFFSET($P14,0,AG$13),15-13*ORÇAMENTO!$AF$7)*OFFSET(ORÇAMENTO!$W$15,ROW(AG14)-ROW(AG$15),0),15-13*ORÇAMENTO!$AF$11)),
         0)</f>
        <v>0</v>
      </c>
      <c r="AH14" s="354" t="n">
        <f aca="true">IF(AND($D14="Serviço",AH$12&lt;&gt;0,$H14&gt;0,OR(AUTOEVENTO&lt;&gt;"manual",$M14&lt;&gt;$A$15)),
        IF(Import.TipoArredondamento&lt;&gt;"TransfereGOV",
              ROUND(OFFSET($P14,0,AH$13),15-13*ORÇAMENTO!$AF$7)/$H14*OFFSET(ORÇAMENTO!$X$15,ROW(AH14)-ROW(AH$15),0),
              ROUND(ROUND(OFFSET($P14,0,AH$13),15-13*ORÇAMENTO!$AF$7)*OFFSET(ORÇAMENTO!$W$15,ROW(AH14)-ROW(AH$15),0),15-13*ORÇAMENTO!$AF$11)),
         0)</f>
        <v>0</v>
      </c>
      <c r="AI14" s="354" t="n">
        <f aca="true">IF(AND($D14="Serviço",AI$12&lt;&gt;0,$H14&gt;0,OR(AUTOEVENTO&lt;&gt;"manual",$M14&lt;&gt;$A$15)),
        IF(Import.TipoArredondamento&lt;&gt;"TransfereGOV",
              ROUND(OFFSET($P14,0,AI$13),15-13*ORÇAMENTO!$AF$7)/$H14*OFFSET(ORÇAMENTO!$X$15,ROW(AI14)-ROW(AI$15),0),
              ROUND(ROUND(OFFSET($P14,0,AI$13),15-13*ORÇAMENTO!$AF$7)*OFFSET(ORÇAMENTO!$W$15,ROW(AI14)-ROW(AI$15),0),15-13*ORÇAMENTO!$AF$11)),
         0)</f>
        <v>0</v>
      </c>
      <c r="AJ14" s="354" t="n">
        <f aca="true">IF(AND($D14="Serviço",AJ$12&lt;&gt;0,$H14&gt;0,OR(AUTOEVENTO&lt;&gt;"manual",$M14&lt;&gt;$A$15)),
        IF(Import.TipoArredondamento&lt;&gt;"TransfereGOV",
              ROUND(OFFSET($P14,0,AJ$13),15-13*ORÇAMENTO!$AF$7)/$H14*OFFSET(ORÇAMENTO!$X$15,ROW(AJ14)-ROW(AJ$15),0),
              ROUND(ROUND(OFFSET($P14,0,AJ$13),15-13*ORÇAMENTO!$AF$7)*OFFSET(ORÇAMENTO!$W$15,ROW(AJ14)-ROW(AJ$15),0),15-13*ORÇAMENTO!$AF$11)),
         0)</f>
        <v>0</v>
      </c>
      <c r="AK14" s="354" t="n">
        <f aca="true">IF(AND($D14="Serviço",AK$12&lt;&gt;0,$H14&gt;0,OR(AUTOEVENTO&lt;&gt;"manual",$M14&lt;&gt;$A$15)),
        IF(Import.TipoArredondamento&lt;&gt;"TransfereGOV",
              ROUND(OFFSET($P14,0,AK$13),15-13*ORÇAMENTO!$AF$7)/$H14*OFFSET(ORÇAMENTO!$X$15,ROW(AK14)-ROW(AK$15),0),
              ROUND(ROUND(OFFSET($P14,0,AK$13),15-13*ORÇAMENTO!$AF$7)*OFFSET(ORÇAMENTO!$W$15,ROW(AK14)-ROW(AK$15),0),15-13*ORÇAMENTO!$AF$11)),
         0)</f>
        <v>0</v>
      </c>
      <c r="AM14" s="355" t="n">
        <f aca="true">IF(OR($D14&lt;&gt;"Serviço",AND(AUTOEVENTO="Manual",$M14=$A$15)),0,
         IF(OFFSET(CRONOPLE!$F$15,$M14-$A$15,AM$13)=0,10^12,OFFSET(CRONOPLE!$F$15,$M14-$A$15,AM$13)))</f>
        <v>0</v>
      </c>
      <c r="AN14" s="355" t="n">
        <f aca="true">IF(OR($D14&lt;&gt;"Serviço",AND(AUTOEVENTO="Manual",$M14=$A$15)),0,
         IF(OFFSET(CRONOPLE!$F$15,$M14-$A$15,AN$13)=0,10^12,OFFSET(CRONOPLE!$F$15,$M14-$A$15,AN$13)))</f>
        <v>0</v>
      </c>
      <c r="AO14" s="355" t="n">
        <f aca="true">IF(OR($D14&lt;&gt;"Serviço",AND(AUTOEVENTO="Manual",$M14=$A$15)),0,
         IF(OFFSET(CRONOPLE!$F$15,$M14-$A$15,AO$13)=0,10^12,OFFSET(CRONOPLE!$F$15,$M14-$A$15,AO$13)))</f>
        <v>0</v>
      </c>
      <c r="AP14" s="355" t="n">
        <f aca="true">IF(OR($D14&lt;&gt;"Serviço",AND(AUTOEVENTO="Manual",$M14=$A$15)),0,
         IF(OFFSET(CRONOPLE!$F$15,$M14-$A$15,AP$13)=0,10^12,OFFSET(CRONOPLE!$F$15,$M14-$A$15,AP$13)))</f>
        <v>0</v>
      </c>
      <c r="AQ14" s="355" t="n">
        <f aca="true">IF(OR($D14&lt;&gt;"Serviço",AND(AUTOEVENTO="Manual",$M14=$A$15)),0,
         IF(OFFSET(CRONOPLE!$F$15,$M14-$A$15,AQ$13)=0,10^12,OFFSET(CRONOPLE!$F$15,$M14-$A$15,AQ$13)))</f>
        <v>0</v>
      </c>
      <c r="AR14" s="355" t="n">
        <f aca="true">IF(OR($D14&lt;&gt;"Serviço",AND(AUTOEVENTO="Manual",$M14=$A$15)),0,
         IF(OFFSET(CRONOPLE!$F$15,$M14-$A$15,AR$13)=0,10^12,OFFSET(CRONOPLE!$F$15,$M14-$A$15,AR$13)))</f>
        <v>0</v>
      </c>
      <c r="AS14" s="355" t="n">
        <f aca="true">IF(OR($D14&lt;&gt;"Serviço",AND(AUTOEVENTO="Manual",$M14=$A$15)),0,
         IF(OFFSET(CRONOPLE!$F$15,$M14-$A$15,AS$13)=0,10^12,OFFSET(CRONOPLE!$F$15,$M14-$A$15,AS$13)))</f>
        <v>0</v>
      </c>
      <c r="AT14" s="355" t="n">
        <f aca="true">IF(OR($D14&lt;&gt;"Serviço",AND(AUTOEVENTO="Manual",$M14=$A$15)),0,
         IF(OFFSET(CRONOPLE!$F$15,$M14-$A$15,AT$13)=0,10^12,OFFSET(CRONOPLE!$F$15,$M14-$A$15,AT$13)))</f>
        <v>0</v>
      </c>
      <c r="AU14" s="355" t="n">
        <f aca="true">IF(OR($D14&lt;&gt;"Serviço",AND(AUTOEVENTO="Manual",$M14=$A$15)),0,
         IF(OFFSET(CRONOPLE!$F$15,$M14-$A$15,AU$13)=0,10^12,OFFSET(CRONOPLE!$F$15,$M14-$A$15,AU$13)))</f>
        <v>0</v>
      </c>
      <c r="AV14" s="355" t="n">
        <f aca="true">IF(OR($D14&lt;&gt;"Serviço",AND(AUTOEVENTO="Manual",$M14=$A$15)),0,
         IF(OFFSET(CRONOPLE!$F$15,$M14-$A$15,AV$13)=0,10^12,OFFSET(CRONOPLE!$F$15,$M14-$A$15,AV$13)))</f>
        <v>0</v>
      </c>
      <c r="AX14" s="356" t="n">
        <f aca="true" t="array" ref="AX14:AX14">IF(OR($D14&lt;&gt;"Serviço",AND(AUTOEVENTO="Manual",$M14=$A$15),$M14&gt;(ROW(PLE.lastrow)-ROW(PLE.firstrow))),0,
           IF(OFFSET(PLE!$G$15,$M14-$A$15,AX$13)="",10^12,OFFSET(PLE!$G$15,$M14-$A$15,AX$13)))</f>
        <v>0</v>
      </c>
      <c r="AY14" s="356" t="n">
        <f aca="true" t="array" ref="AY14:AY14">IF(OR($D14&lt;&gt;"Serviço",AND(AUTOEVENTO="Manual",$M14=$A$15),$M14&gt;(ROW(PLE.lastrow)-ROW(PLE.firstrow))),0,
           IF(OFFSET(PLE!$G$15,$M14-$A$15,AY$13)="",10^12,OFFSET(PLE!$G$15,$M14-$A$15,AY$13)))</f>
        <v>0</v>
      </c>
      <c r="AZ14" s="356" t="n">
        <f aca="true" t="array" ref="AZ14:AZ14">IF(OR($D14&lt;&gt;"Serviço",AND(AUTOEVENTO="Manual",$M14=$A$15),$M14&gt;(ROW(PLE.lastrow)-ROW(PLE.firstrow))),0,
           IF(OFFSET(PLE!$G$15,$M14-$A$15,AZ$13)="",10^12,OFFSET(PLE!$G$15,$M14-$A$15,AZ$13)))</f>
        <v>0</v>
      </c>
      <c r="BA14" s="356" t="n">
        <f aca="true" t="array" ref="BA14:BA14">IF(OR($D14&lt;&gt;"Serviço",AND(AUTOEVENTO="Manual",$M14=$A$15),$M14&gt;(ROW(PLE.lastrow)-ROW(PLE.firstrow))),0,
           IF(OFFSET(PLE!$G$15,$M14-$A$15,BA$13)="",10^12,OFFSET(PLE!$G$15,$M14-$A$15,BA$13)))</f>
        <v>0</v>
      </c>
      <c r="BB14" s="356" t="n">
        <f aca="true" t="array" ref="BB14:BB14">IF(OR($D14&lt;&gt;"Serviço",AND(AUTOEVENTO="Manual",$M14=$A$15),$M14&gt;(ROW(PLE.lastrow)-ROW(PLE.firstrow))),0,
           IF(OFFSET(PLE!$G$15,$M14-$A$15,BB$13)="",10^12,OFFSET(PLE!$G$15,$M14-$A$15,BB$13)))</f>
        <v>0</v>
      </c>
      <c r="BC14" s="356" t="n">
        <f aca="true" t="array" ref="BC14:BC14">IF(OR($D14&lt;&gt;"Serviço",AND(AUTOEVENTO="Manual",$M14=$A$15),$M14&gt;(ROW(PLE.lastrow)-ROW(PLE.firstrow))),0,
           IF(OFFSET(PLE!$G$15,$M14-$A$15,BC$13)="",10^12,OFFSET(PLE!$G$15,$M14-$A$15,BC$13)))</f>
        <v>0</v>
      </c>
      <c r="BD14" s="356" t="n">
        <f aca="true" t="array" ref="BD14:BD14">IF(OR($D14&lt;&gt;"Serviço",AND(AUTOEVENTO="Manual",$M14=$A$15),$M14&gt;(ROW(PLE.lastrow)-ROW(PLE.firstrow))),0,
           IF(OFFSET(PLE!$G$15,$M14-$A$15,BD$13)="",10^12,OFFSET(PLE!$G$15,$M14-$A$15,BD$13)))</f>
        <v>0</v>
      </c>
      <c r="BE14" s="356" t="n">
        <f aca="true" t="array" ref="BE14:BE14">IF(OR($D14&lt;&gt;"Serviço",AND(AUTOEVENTO="Manual",$M14=$A$15),$M14&gt;(ROW(PLE.lastrow)-ROW(PLE.firstrow))),0,
           IF(OFFSET(PLE!$G$15,$M14-$A$15,BE$13)="",10^12,OFFSET(PLE!$G$15,$M14-$A$15,BE$13)))</f>
        <v>0</v>
      </c>
      <c r="BF14" s="356" t="n">
        <f aca="true" t="array" ref="BF14:BF14">IF(OR($D14&lt;&gt;"Serviço",AND(AUTOEVENTO="Manual",$M14=$A$15),$M14&gt;(ROW(PLE.lastrow)-ROW(PLE.firstrow))),0,
           IF(OFFSET(PLE!$G$15,$M14-$A$15,BF$13)="",10^12,OFFSET(PLE!$G$15,$M14-$A$15,BF$13)))</f>
        <v>0</v>
      </c>
      <c r="BG14" s="356" t="n">
        <f aca="true" t="array" ref="BG14:BG14">IF(OR($D14&lt;&gt;"Serviço",AND(AUTOEVENTO="Manual",$M14=$A$15),$M14&gt;(ROW(PLE.lastrow)-ROW(PLE.firstrow))),0,
           IF(OFFSET(PLE!$G$15,$M14-$A$15,BG$13)="",10^12,OFFSET(PLE!$G$15,$M14-$A$15,BG$13)))</f>
        <v>0</v>
      </c>
    </row>
    <row r="15" customFormat="false" ht="12.75" hidden="false" customHeight="true" outlineLevel="0" collapsed="false">
      <c r="A15" s="157" t="n">
        <f aca="false" t="array" ref="A15:A15">IF(AdmLocal="Automática",1,0)</f>
        <v>0</v>
      </c>
      <c r="B15" s="48" t="str">
        <f aca="true">OFFSET(ORÇAMENTO!C$15,ROW(B15)-ROW(B$15),0)</f>
        <v>L</v>
      </c>
      <c r="C15" s="48" t="str">
        <f aca="true">OFFSET(ORÇAMENTO!L$15,ROW(C15)-ROW(C$15),0)</f>
        <v>F</v>
      </c>
      <c r="D15" s="226" t="str">
        <f aca="false" t="array" ref="D15:D15">IF(TIPOORCAMENTO="LICITADO","CTEF","LOTE")</f>
        <v>LOTE</v>
      </c>
      <c r="E15" s="357" t="n">
        <f aca="false">Import.DescLote</f>
        <v>0</v>
      </c>
      <c r="F15" s="357"/>
      <c r="G15" s="357"/>
      <c r="H15" s="357"/>
      <c r="I15" s="358"/>
      <c r="J15" s="338"/>
      <c r="K15" s="359"/>
      <c r="L15" s="348" t="n">
        <v>0</v>
      </c>
      <c r="M15" s="360" t="n">
        <v>0</v>
      </c>
      <c r="N15" s="361" t="s">
        <v>894</v>
      </c>
      <c r="O15" s="362" t="e">
        <f aca="true">OFFSET($AA$15,0,O$13)</f>
        <v>#VALUE!</v>
      </c>
      <c r="Q15" s="363" t="n">
        <f aca="true">OFFSET($AA$15,0,Q$13)</f>
        <v>0</v>
      </c>
      <c r="R15" s="362" t="n">
        <f aca="true">OFFSET($AA$15,0,R$13)</f>
        <v>0</v>
      </c>
      <c r="S15" s="362" t="n">
        <f aca="true">OFFSET($AA$15,0,S$13)</f>
        <v>0</v>
      </c>
      <c r="T15" s="362" t="n">
        <f aca="true">OFFSET($AA$15,0,T$13)</f>
        <v>0</v>
      </c>
      <c r="U15" s="362" t="n">
        <f aca="true">OFFSET($AA$15,0,U$13)</f>
        <v>0</v>
      </c>
      <c r="V15" s="362" t="n">
        <f aca="true">OFFSET($AA$15,0,V$13)</f>
        <v>0</v>
      </c>
      <c r="W15" s="362" t="n">
        <f aca="true">OFFSET($AA$15,0,W$13)</f>
        <v>0</v>
      </c>
      <c r="X15" s="362" t="n">
        <f aca="true">OFFSET($AA$15,0,X$13)</f>
        <v>0</v>
      </c>
      <c r="Y15" s="362" t="n">
        <f aca="true">OFFSET($AA$15,0,Y$13)</f>
        <v>0</v>
      </c>
      <c r="Z15" s="364" t="n">
        <f aca="true">OFFSET($AA$15,0,Z$13)</f>
        <v>0</v>
      </c>
      <c r="AB15" s="365" t="n">
        <f aca="true">ROUND(SUM(OFFSET(AB$15,1,0):AB$59),2)</f>
        <v>0</v>
      </c>
      <c r="AC15" s="365" t="n">
        <f aca="true">SUM(OFFSET(AC$15,1,0):AC$59)</f>
        <v>0</v>
      </c>
      <c r="AD15" s="365" t="n">
        <f aca="true">SUM(OFFSET(AD$15,1,0):AD$59)</f>
        <v>0</v>
      </c>
      <c r="AE15" s="365" t="n">
        <f aca="true">SUM(OFFSET(AE$15,1,0):AE$59)</f>
        <v>0</v>
      </c>
      <c r="AF15" s="365" t="n">
        <f aca="true">SUM(OFFSET(AF$15,1,0):AF$59)</f>
        <v>0</v>
      </c>
      <c r="AG15" s="365" t="n">
        <f aca="true">SUM(OFFSET(AG$15,1,0):AG$59)</f>
        <v>0</v>
      </c>
      <c r="AH15" s="365" t="n">
        <f aca="true">SUM(OFFSET(AH$15,1,0):AH$59)</f>
        <v>0</v>
      </c>
      <c r="AI15" s="365" t="n">
        <f aca="true">SUM(OFFSET(AI$15,1,0):AI$59)</f>
        <v>0</v>
      </c>
      <c r="AJ15" s="365" t="n">
        <f aca="true">SUM(OFFSET(AJ$15,1,0):AJ$59)</f>
        <v>0</v>
      </c>
      <c r="AK15" s="365" t="n">
        <f aca="true">SUM(OFFSET(AK$15,1,0):AK$59)</f>
        <v>0</v>
      </c>
      <c r="AM15" s="366" t="n">
        <f aca="false">10^12</f>
        <v>1000000000000</v>
      </c>
      <c r="AN15" s="366" t="n">
        <f aca="false">10^12</f>
        <v>1000000000000</v>
      </c>
      <c r="AO15" s="366" t="n">
        <f aca="false">10^12</f>
        <v>1000000000000</v>
      </c>
      <c r="AP15" s="366" t="n">
        <f aca="false">10^12</f>
        <v>1000000000000</v>
      </c>
      <c r="AQ15" s="366" t="n">
        <f aca="false">10^12</f>
        <v>1000000000000</v>
      </c>
      <c r="AR15" s="366" t="n">
        <f aca="false">10^12</f>
        <v>1000000000000</v>
      </c>
      <c r="AS15" s="366" t="n">
        <f aca="false">10^12</f>
        <v>1000000000000</v>
      </c>
      <c r="AT15" s="366" t="n">
        <f aca="false">10^12</f>
        <v>1000000000000</v>
      </c>
      <c r="AU15" s="366" t="n">
        <f aca="false">10^12</f>
        <v>1000000000000</v>
      </c>
      <c r="AV15" s="366" t="n">
        <f aca="false">10^12</f>
        <v>1000000000000</v>
      </c>
      <c r="AX15" s="366" t="n">
        <f aca="false">10^12</f>
        <v>1000000000000</v>
      </c>
      <c r="AY15" s="366" t="n">
        <f aca="false">10^12</f>
        <v>1000000000000</v>
      </c>
      <c r="AZ15" s="366" t="n">
        <f aca="false">10^12</f>
        <v>1000000000000</v>
      </c>
      <c r="BA15" s="366" t="n">
        <f aca="false">10^12</f>
        <v>1000000000000</v>
      </c>
      <c r="BB15" s="366" t="n">
        <f aca="false">10^12</f>
        <v>1000000000000</v>
      </c>
      <c r="BC15" s="366" t="n">
        <f aca="false">10^12</f>
        <v>1000000000000</v>
      </c>
      <c r="BD15" s="366" t="n">
        <f aca="false">10^12</f>
        <v>1000000000000</v>
      </c>
      <c r="BE15" s="366" t="n">
        <f aca="false">10^12</f>
        <v>1000000000000</v>
      </c>
      <c r="BF15" s="366" t="n">
        <f aca="false">10^12</f>
        <v>1000000000000</v>
      </c>
      <c r="BG15" s="366" t="n">
        <f aca="false">10^12</f>
        <v>1000000000000</v>
      </c>
    </row>
    <row r="16" customFormat="false" ht="12.8" hidden="false" customHeight="false" outlineLevel="0" collapsed="false">
      <c r="A16" s="48" t="str">
        <f aca="true">IFERROR(IF(AUTOEVENTO="Manual",IF(K16&lt;&gt;"",MIN(VALUE(LEFT(K16,FIND(".",K16)-1)),COUNTA(EVENTOS.Lista)),0),IF(OR($B16&gt;AUTOEVENTO,$B16="S",$B16=0),SUBSTITUTE(OFFSET($A16,-1,0),IF($D16="Serviço",".",""),""),$L16&amp;".")),0)</f>
        <v>1.</v>
      </c>
      <c r="B16" s="48" t="n">
        <f aca="true">OFFSET(ORÇAMENTO!C$15,$L16,0)</f>
        <v>1</v>
      </c>
      <c r="C16" s="48" t="str">
        <f aca="true">OFFSET(ORÇAMENTO!L$15,$L16,0)</f>
        <v>F</v>
      </c>
      <c r="D16" s="206" t="str">
        <f aca="true">OFFSET(ORÇAMENTO!N$15,$L16,0)</f>
        <v>Meta</v>
      </c>
      <c r="E16" s="207" t="str">
        <f aca="true">OFFSET(ORÇAMENTO!O$15,$L16,0)</f>
        <v>1.</v>
      </c>
      <c r="F16" s="343" t="str">
        <f aca="true">OFFSET(ORÇAMENTO!R$15,$L16,0)</f>
        <v>REVITALIZAÇÃO DA ORLA DA BEIRA RIO </v>
      </c>
      <c r="G16" s="344" t="str">
        <f aca="true">IF($D16&lt;&gt;"Serviço","",OFFSET(ORÇAMENTO!S$15,$L16,0))</f>
        <v/>
      </c>
      <c r="H16" s="212" t="n">
        <f aca="true" t="array" ref="H16:H16">IF($D16&lt;&gt;"Serviço",0,IF(ACOMPANHAMENTO="BM",ROUND(OFFSET(ORÇAMENTO!AJ$15,$L16,0),15-13*ORÇAMENTO!$AF$7),IF(IFERROR(CÁLCULO.FrentesPreenchidas,0)=0,0,SUM(ROUND(OFFSET($P16,0,1,1,CÁLCULO.FrentesPreenchidas),15-13*ORÇAMENTO!$AF$7)))))</f>
        <v>0</v>
      </c>
      <c r="I16" s="345"/>
      <c r="J16" s="346" t="str">
        <f aca="false" t="array" ref="J16:J16">IF(OR(B16&lt;&gt;"S",CÁLCULO.FrentesPreenchidas=0),"",IF(AND(ACOMPANHAMENTO="PLE",AUTOEVENTO="Manual",OR(H16&gt;0,ORÇAMENTO!AC16="QUANT."),OR(K16="",M16=0,N16="")),"►E",IF(AND(ACOMPANHAMENTO="PLE",ORÇAMENTO!AC16="QUANT."),"►Q",IF(AND(ACOMPANHAMENTO="PLE",H16&lt;&gt;SUMPRODUCT(($Q$1:$AA$1=1)*ROUND(Q16:AA16,15))),"►S",IF(AND(COUNTIF($P$11:$AA$11,"▼")=0,H16&gt;0,I16=""),"◄M","")))))</f>
        <v/>
      </c>
      <c r="K16" s="347"/>
      <c r="L16" s="348" t="n">
        <f aca="true">OFFSET(L16,-1,0)+1</f>
        <v>1</v>
      </c>
      <c r="M16" s="349" t="str">
        <f aca="true">IF($D16&lt;&gt;"Serviço","",
          IF(AUTOEVENTO="manual",$A16,
                IF(ISERROR(MATCH($A16,$A$15:OFFSET($A16,-1,0),0)),MAX($M$15:OFFSET(M16,-1,0))+1,
                      INDEX($M$15:OFFSET(M16,-1,0),MATCH($A16,$A$15:OFFSET($A16,-1,0),0)))))</f>
        <v/>
      </c>
      <c r="N16" s="350" t="str">
        <f aca="true">IF($D16&lt;&gt;"Serviço","",
         IF(AUTOEVENTO="Manual",
                IF($A16=0,"&lt;-- defina o número do agrupador",
                       OFFSET(EVENTOS!$D$15,$A16-$A$15,0)),
                OFFSET($F$15,$A16,0)))</f>
        <v/>
      </c>
      <c r="O16" s="351"/>
      <c r="Q16" s="351"/>
      <c r="R16" s="352"/>
      <c r="S16" s="352"/>
      <c r="T16" s="352"/>
      <c r="U16" s="352"/>
      <c r="V16" s="352"/>
      <c r="W16" s="352"/>
      <c r="X16" s="352"/>
      <c r="Y16" s="352"/>
      <c r="Z16" s="353"/>
      <c r="AB16" s="354" t="n">
        <f aca="true">IF(AND($D16="Serviço",AB$12&lt;&gt;0,$H16&gt;0,OR(AUTOEVENTO&lt;&gt;"manual",$M16&lt;&gt;$A$15)),
        IF(Import.TipoArredondamento&lt;&gt;"TransfereGOV",
              ROUND(OFFSET($P16,0,AB$13),15-13*ORÇAMENTO!$AF$7)/$H16*OFFSET(ORÇAMENTO!$X$15,ROW(AB16)-ROW(AB$15),0),
              ROUND(ROUND(OFFSET($P16,0,AB$13),15-13*ORÇAMENTO!$AF$7)*OFFSET(ORÇAMENTO!$W$15,ROW(AB16)-ROW(AB$15),0),15-13*ORÇAMENTO!$AF$11)),
         0)</f>
        <v>0</v>
      </c>
      <c r="AC16" s="354" t="n">
        <f aca="true">IF(AND($D16="Serviço",AC$12&lt;&gt;0,$H16&gt;0,OR(AUTOEVENTO&lt;&gt;"manual",$M16&lt;&gt;$A$15)),
        IF(Import.TipoArredondamento&lt;&gt;"TransfereGOV",
              ROUND(OFFSET($P16,0,AC$13),15-13*ORÇAMENTO!$AF$7)/$H16*OFFSET(ORÇAMENTO!$X$15,ROW(AC16)-ROW(AC$15),0),
              ROUND(ROUND(OFFSET($P16,0,AC$13),15-13*ORÇAMENTO!$AF$7)*OFFSET(ORÇAMENTO!$W$15,ROW(AC16)-ROW(AC$15),0),15-13*ORÇAMENTO!$AF$11)),
         0)</f>
        <v>0</v>
      </c>
      <c r="AD16" s="354" t="n">
        <f aca="true">IF(AND($D16="Serviço",AD$12&lt;&gt;0,$H16&gt;0,OR(AUTOEVENTO&lt;&gt;"manual",$M16&lt;&gt;$A$15)),
        IF(Import.TipoArredondamento&lt;&gt;"TransfereGOV",
              ROUND(OFFSET($P16,0,AD$13),15-13*ORÇAMENTO!$AF$7)/$H16*OFFSET(ORÇAMENTO!$X$15,ROW(AD16)-ROW(AD$15),0),
              ROUND(ROUND(OFFSET($P16,0,AD$13),15-13*ORÇAMENTO!$AF$7)*OFFSET(ORÇAMENTO!$W$15,ROW(AD16)-ROW(AD$15),0),15-13*ORÇAMENTO!$AF$11)),
         0)</f>
        <v>0</v>
      </c>
      <c r="AE16" s="354" t="n">
        <f aca="true">IF(AND($D16="Serviço",AE$12&lt;&gt;0,$H16&gt;0,OR(AUTOEVENTO&lt;&gt;"manual",$M16&lt;&gt;$A$15)),
        IF(Import.TipoArredondamento&lt;&gt;"TransfereGOV",
              ROUND(OFFSET($P16,0,AE$13),15-13*ORÇAMENTO!$AF$7)/$H16*OFFSET(ORÇAMENTO!$X$15,ROW(AE16)-ROW(AE$15),0),
              ROUND(ROUND(OFFSET($P16,0,AE$13),15-13*ORÇAMENTO!$AF$7)*OFFSET(ORÇAMENTO!$W$15,ROW(AE16)-ROW(AE$15),0),15-13*ORÇAMENTO!$AF$11)),
         0)</f>
        <v>0</v>
      </c>
      <c r="AF16" s="354" t="n">
        <f aca="true">IF(AND($D16="Serviço",AF$12&lt;&gt;0,$H16&gt;0,OR(AUTOEVENTO&lt;&gt;"manual",$M16&lt;&gt;$A$15)),
        IF(Import.TipoArredondamento&lt;&gt;"TransfereGOV",
              ROUND(OFFSET($P16,0,AF$13),15-13*ORÇAMENTO!$AF$7)/$H16*OFFSET(ORÇAMENTO!$X$15,ROW(AF16)-ROW(AF$15),0),
              ROUND(ROUND(OFFSET($P16,0,AF$13),15-13*ORÇAMENTO!$AF$7)*OFFSET(ORÇAMENTO!$W$15,ROW(AF16)-ROW(AF$15),0),15-13*ORÇAMENTO!$AF$11)),
         0)</f>
        <v>0</v>
      </c>
      <c r="AG16" s="354" t="n">
        <f aca="true">IF(AND($D16="Serviço",AG$12&lt;&gt;0,$H16&gt;0,OR(AUTOEVENTO&lt;&gt;"manual",$M16&lt;&gt;$A$15)),
        IF(Import.TipoArredondamento&lt;&gt;"TransfereGOV",
              ROUND(OFFSET($P16,0,AG$13),15-13*ORÇAMENTO!$AF$7)/$H16*OFFSET(ORÇAMENTO!$X$15,ROW(AG16)-ROW(AG$15),0),
              ROUND(ROUND(OFFSET($P16,0,AG$13),15-13*ORÇAMENTO!$AF$7)*OFFSET(ORÇAMENTO!$W$15,ROW(AG16)-ROW(AG$15),0),15-13*ORÇAMENTO!$AF$11)),
         0)</f>
        <v>0</v>
      </c>
      <c r="AH16" s="354" t="n">
        <f aca="true">IF(AND($D16="Serviço",AH$12&lt;&gt;0,$H16&gt;0,OR(AUTOEVENTO&lt;&gt;"manual",$M16&lt;&gt;$A$15)),
        IF(Import.TipoArredondamento&lt;&gt;"TransfereGOV",
              ROUND(OFFSET($P16,0,AH$13),15-13*ORÇAMENTO!$AF$7)/$H16*OFFSET(ORÇAMENTO!$X$15,ROW(AH16)-ROW(AH$15),0),
              ROUND(ROUND(OFFSET($P16,0,AH$13),15-13*ORÇAMENTO!$AF$7)*OFFSET(ORÇAMENTO!$W$15,ROW(AH16)-ROW(AH$15),0),15-13*ORÇAMENTO!$AF$11)),
         0)</f>
        <v>0</v>
      </c>
      <c r="AI16" s="354" t="n">
        <f aca="true">IF(AND($D16="Serviço",AI$12&lt;&gt;0,$H16&gt;0,OR(AUTOEVENTO&lt;&gt;"manual",$M16&lt;&gt;$A$15)),
        IF(Import.TipoArredondamento&lt;&gt;"TransfereGOV",
              ROUND(OFFSET($P16,0,AI$13),15-13*ORÇAMENTO!$AF$7)/$H16*OFFSET(ORÇAMENTO!$X$15,ROW(AI16)-ROW(AI$15),0),
              ROUND(ROUND(OFFSET($P16,0,AI$13),15-13*ORÇAMENTO!$AF$7)*OFFSET(ORÇAMENTO!$W$15,ROW(AI16)-ROW(AI$15),0),15-13*ORÇAMENTO!$AF$11)),
         0)</f>
        <v>0</v>
      </c>
      <c r="AJ16" s="354" t="n">
        <f aca="true">IF(AND($D16="Serviço",AJ$12&lt;&gt;0,$H16&gt;0,OR(AUTOEVENTO&lt;&gt;"manual",$M16&lt;&gt;$A$15)),
        IF(Import.TipoArredondamento&lt;&gt;"TransfereGOV",
              ROUND(OFFSET($P16,0,AJ$13),15-13*ORÇAMENTO!$AF$7)/$H16*OFFSET(ORÇAMENTO!$X$15,ROW(AJ16)-ROW(AJ$15),0),
              ROUND(ROUND(OFFSET($P16,0,AJ$13),15-13*ORÇAMENTO!$AF$7)*OFFSET(ORÇAMENTO!$W$15,ROW(AJ16)-ROW(AJ$15),0),15-13*ORÇAMENTO!$AF$11)),
         0)</f>
        <v>0</v>
      </c>
      <c r="AK16" s="354" t="n">
        <f aca="true">IF(AND($D16="Serviço",AK$12&lt;&gt;0,$H16&gt;0,OR(AUTOEVENTO&lt;&gt;"manual",$M16&lt;&gt;$A$15)),
        IF(Import.TipoArredondamento&lt;&gt;"TransfereGOV",
              ROUND(OFFSET($P16,0,AK$13),15-13*ORÇAMENTO!$AF$7)/$H16*OFFSET(ORÇAMENTO!$X$15,ROW(AK16)-ROW(AK$15),0),
              ROUND(ROUND(OFFSET($P16,0,AK$13),15-13*ORÇAMENTO!$AF$7)*OFFSET(ORÇAMENTO!$W$15,ROW(AK16)-ROW(AK$15),0),15-13*ORÇAMENTO!$AF$11)),
         0)</f>
        <v>0</v>
      </c>
      <c r="AM16" s="355" t="n">
        <f aca="true">IF(OR($D16&lt;&gt;"Serviço",AND(AUTOEVENTO="Manual",$M16=$A$15)),0,
         IF(OFFSET(CRONOPLE!$F$15,$M16-$A$15,AM$13)=0,10^12,OFFSET(CRONOPLE!$F$15,$M16-$A$15,AM$13)))</f>
        <v>0</v>
      </c>
      <c r="AN16" s="355" t="n">
        <f aca="true">IF(OR($D16&lt;&gt;"Serviço",AND(AUTOEVENTO="Manual",$M16=$A$15)),0,
         IF(OFFSET(CRONOPLE!$F$15,$M16-$A$15,AN$13)=0,10^12,OFFSET(CRONOPLE!$F$15,$M16-$A$15,AN$13)))</f>
        <v>0</v>
      </c>
      <c r="AO16" s="355" t="n">
        <f aca="true">IF(OR($D16&lt;&gt;"Serviço",AND(AUTOEVENTO="Manual",$M16=$A$15)),0,
         IF(OFFSET(CRONOPLE!$F$15,$M16-$A$15,AO$13)=0,10^12,OFFSET(CRONOPLE!$F$15,$M16-$A$15,AO$13)))</f>
        <v>0</v>
      </c>
      <c r="AP16" s="355" t="n">
        <f aca="true">IF(OR($D16&lt;&gt;"Serviço",AND(AUTOEVENTO="Manual",$M16=$A$15)),0,
         IF(OFFSET(CRONOPLE!$F$15,$M16-$A$15,AP$13)=0,10^12,OFFSET(CRONOPLE!$F$15,$M16-$A$15,AP$13)))</f>
        <v>0</v>
      </c>
      <c r="AQ16" s="355" t="n">
        <f aca="true">IF(OR($D16&lt;&gt;"Serviço",AND(AUTOEVENTO="Manual",$M16=$A$15)),0,
         IF(OFFSET(CRONOPLE!$F$15,$M16-$A$15,AQ$13)=0,10^12,OFFSET(CRONOPLE!$F$15,$M16-$A$15,AQ$13)))</f>
        <v>0</v>
      </c>
      <c r="AR16" s="355" t="n">
        <f aca="true">IF(OR($D16&lt;&gt;"Serviço",AND(AUTOEVENTO="Manual",$M16=$A$15)),0,
         IF(OFFSET(CRONOPLE!$F$15,$M16-$A$15,AR$13)=0,10^12,OFFSET(CRONOPLE!$F$15,$M16-$A$15,AR$13)))</f>
        <v>0</v>
      </c>
      <c r="AS16" s="355" t="n">
        <f aca="true">IF(OR($D16&lt;&gt;"Serviço",AND(AUTOEVENTO="Manual",$M16=$A$15)),0,
         IF(OFFSET(CRONOPLE!$F$15,$M16-$A$15,AS$13)=0,10^12,OFFSET(CRONOPLE!$F$15,$M16-$A$15,AS$13)))</f>
        <v>0</v>
      </c>
      <c r="AT16" s="355" t="n">
        <f aca="true">IF(OR($D16&lt;&gt;"Serviço",AND(AUTOEVENTO="Manual",$M16=$A$15)),0,
         IF(OFFSET(CRONOPLE!$F$15,$M16-$A$15,AT$13)=0,10^12,OFFSET(CRONOPLE!$F$15,$M16-$A$15,AT$13)))</f>
        <v>0</v>
      </c>
      <c r="AU16" s="355" t="n">
        <f aca="true">IF(OR($D16&lt;&gt;"Serviço",AND(AUTOEVENTO="Manual",$M16=$A$15)),0,
         IF(OFFSET(CRONOPLE!$F$15,$M16-$A$15,AU$13)=0,10^12,OFFSET(CRONOPLE!$F$15,$M16-$A$15,AU$13)))</f>
        <v>0</v>
      </c>
      <c r="AV16" s="355" t="n">
        <f aca="true">IF(OR($D16&lt;&gt;"Serviço",AND(AUTOEVENTO="Manual",$M16=$A$15)),0,
         IF(OFFSET(CRONOPLE!$F$15,$M16-$A$15,AV$13)=0,10^12,OFFSET(CRONOPLE!$F$15,$M16-$A$15,AV$13)))</f>
        <v>0</v>
      </c>
      <c r="AX16" s="356" t="n">
        <f aca="true" t="array" ref="AX16:AX16">IF(OR($D16&lt;&gt;"Serviço",AND(AUTOEVENTO="Manual",$M16=$A$15),$M16&gt;(ROW(PLE.lastrow)-ROW(PLE.firstrow))),0,
           IF(OFFSET(PLE!$G$15,$M16-$A$15,AX$13)="",10^12,OFFSET(PLE!$G$15,$M16-$A$15,AX$13)))</f>
        <v>0</v>
      </c>
      <c r="AY16" s="356" t="n">
        <f aca="true" t="array" ref="AY16:AY16">IF(OR($D16&lt;&gt;"Serviço",AND(AUTOEVENTO="Manual",$M16=$A$15),$M16&gt;(ROW(PLE.lastrow)-ROW(PLE.firstrow))),0,
           IF(OFFSET(PLE!$G$15,$M16-$A$15,AY$13)="",10^12,OFFSET(PLE!$G$15,$M16-$A$15,AY$13)))</f>
        <v>0</v>
      </c>
      <c r="AZ16" s="356" t="n">
        <f aca="true" t="array" ref="AZ16:AZ16">IF(OR($D16&lt;&gt;"Serviço",AND(AUTOEVENTO="Manual",$M16=$A$15),$M16&gt;(ROW(PLE.lastrow)-ROW(PLE.firstrow))),0,
           IF(OFFSET(PLE!$G$15,$M16-$A$15,AZ$13)="",10^12,OFFSET(PLE!$G$15,$M16-$A$15,AZ$13)))</f>
        <v>0</v>
      </c>
      <c r="BA16" s="356" t="n">
        <f aca="true" t="array" ref="BA16:BA16">IF(OR($D16&lt;&gt;"Serviço",AND(AUTOEVENTO="Manual",$M16=$A$15),$M16&gt;(ROW(PLE.lastrow)-ROW(PLE.firstrow))),0,
           IF(OFFSET(PLE!$G$15,$M16-$A$15,BA$13)="",10^12,OFFSET(PLE!$G$15,$M16-$A$15,BA$13)))</f>
        <v>0</v>
      </c>
      <c r="BB16" s="356" t="n">
        <f aca="true" t="array" ref="BB16:BB16">IF(OR($D16&lt;&gt;"Serviço",AND(AUTOEVENTO="Manual",$M16=$A$15),$M16&gt;(ROW(PLE.lastrow)-ROW(PLE.firstrow))),0,
           IF(OFFSET(PLE!$G$15,$M16-$A$15,BB$13)="",10^12,OFFSET(PLE!$G$15,$M16-$A$15,BB$13)))</f>
        <v>0</v>
      </c>
      <c r="BC16" s="356" t="n">
        <f aca="true" t="array" ref="BC16:BC16">IF(OR($D16&lt;&gt;"Serviço",AND(AUTOEVENTO="Manual",$M16=$A$15),$M16&gt;(ROW(PLE.lastrow)-ROW(PLE.firstrow))),0,
           IF(OFFSET(PLE!$G$15,$M16-$A$15,BC$13)="",10^12,OFFSET(PLE!$G$15,$M16-$A$15,BC$13)))</f>
        <v>0</v>
      </c>
      <c r="BD16" s="356" t="n">
        <f aca="true" t="array" ref="BD16:BD16">IF(OR($D16&lt;&gt;"Serviço",AND(AUTOEVENTO="Manual",$M16=$A$15),$M16&gt;(ROW(PLE.lastrow)-ROW(PLE.firstrow))),0,
           IF(OFFSET(PLE!$G$15,$M16-$A$15,BD$13)="",10^12,OFFSET(PLE!$G$15,$M16-$A$15,BD$13)))</f>
        <v>0</v>
      </c>
      <c r="BE16" s="356" t="n">
        <f aca="true" t="array" ref="BE16:BE16">IF(OR($D16&lt;&gt;"Serviço",AND(AUTOEVENTO="Manual",$M16=$A$15),$M16&gt;(ROW(PLE.lastrow)-ROW(PLE.firstrow))),0,
           IF(OFFSET(PLE!$G$15,$M16-$A$15,BE$13)="",10^12,OFFSET(PLE!$G$15,$M16-$A$15,BE$13)))</f>
        <v>0</v>
      </c>
      <c r="BF16" s="356" t="n">
        <f aca="true" t="array" ref="BF16:BF16">IF(OR($D16&lt;&gt;"Serviço",AND(AUTOEVENTO="Manual",$M16=$A$15),$M16&gt;(ROW(PLE.lastrow)-ROW(PLE.firstrow))),0,
           IF(OFFSET(PLE!$G$15,$M16-$A$15,BF$13)="",10^12,OFFSET(PLE!$G$15,$M16-$A$15,BF$13)))</f>
        <v>0</v>
      </c>
      <c r="BG16" s="356" t="n">
        <f aca="true" t="array" ref="BG16:BG16">IF(OR($D16&lt;&gt;"Serviço",AND(AUTOEVENTO="Manual",$M16=$A$15),$M16&gt;(ROW(PLE.lastrow)-ROW(PLE.firstrow))),0,
           IF(OFFSET(PLE!$G$15,$M16-$A$15,BG$13)="",10^12,OFFSET(PLE!$G$15,$M16-$A$15,BG$13)))</f>
        <v>0</v>
      </c>
    </row>
    <row r="17" customFormat="false" ht="12.8" hidden="false" customHeight="false" outlineLevel="0" collapsed="false">
      <c r="A17" s="48" t="str">
        <f aca="true">IFERROR(IF(AUTOEVENTO="Manual",IF(K17&lt;&gt;"",MIN(VALUE(LEFT(K17,FIND(".",K17)-1)),COUNTA(EVENTOS.Lista)),0),IF(OR($B17&gt;AUTOEVENTO,$B17="S",$B17=0),SUBSTITUTE(OFFSET($A17,-1,0),IF($D17="Serviço",".",""),""),$L17&amp;".")),0)</f>
        <v>2.</v>
      </c>
      <c r="B17" s="48" t="n">
        <f aca="true">OFFSET(ORÇAMENTO!C$15,$L17,0)</f>
        <v>2</v>
      </c>
      <c r="C17" s="48" t="str">
        <f aca="true">OFFSET(ORÇAMENTO!L$15,$L17,0)</f>
        <v>F</v>
      </c>
      <c r="D17" s="206" t="str">
        <f aca="true">OFFSET(ORÇAMENTO!N$15,$L17,0)</f>
        <v>Nível 2</v>
      </c>
      <c r="E17" s="207" t="str">
        <f aca="true">OFFSET(ORÇAMENTO!O$15,$L17,0)</f>
        <v>1.1.</v>
      </c>
      <c r="F17" s="343" t="str">
        <f aca="true">OFFSET(ORÇAMENTO!R$15,$L17,0)</f>
        <v>ADMINISTRAÇÃO DA OBRA</v>
      </c>
      <c r="G17" s="344" t="str">
        <f aca="true">IF($D17&lt;&gt;"Serviço","",OFFSET(ORÇAMENTO!S$15,$L17,0))</f>
        <v/>
      </c>
      <c r="H17" s="212" t="n">
        <f aca="true" t="array" ref="H17:H17">IF($D17&lt;&gt;"Serviço",0,IF(ACOMPANHAMENTO="BM",ROUND(OFFSET(ORÇAMENTO!AJ$15,$L17,0),15-13*ORÇAMENTO!$AF$7),IF(IFERROR(CÁLCULO.FrentesPreenchidas,0)=0,0,SUM(ROUND(OFFSET($P17,0,1,1,CÁLCULO.FrentesPreenchidas),15-13*ORÇAMENTO!$AF$7)))))</f>
        <v>0</v>
      </c>
      <c r="I17" s="345"/>
      <c r="J17" s="346" t="str">
        <f aca="false" t="array" ref="J17:J17">IF(OR(B17&lt;&gt;"S",CÁLCULO.FrentesPreenchidas=0),"",IF(AND(ACOMPANHAMENTO="PLE",AUTOEVENTO="Manual",OR(H17&gt;0,ORÇAMENTO!AC17="QUANT."),OR(K17="",M17=0,N17="")),"►E",IF(AND(ACOMPANHAMENTO="PLE",ORÇAMENTO!AC17="QUANT."),"►Q",IF(AND(ACOMPANHAMENTO="PLE",H17&lt;&gt;SUMPRODUCT(($Q$1:$AA$1=1)*ROUND(Q17:AA17,15))),"►S",IF(AND(COUNTIF($P$11:$AA$11,"▼")=0,H17&gt;0,I17=""),"◄M","")))))</f>
        <v/>
      </c>
      <c r="K17" s="347"/>
      <c r="L17" s="348" t="n">
        <f aca="true">OFFSET(L17,-1,0)+1</f>
        <v>2</v>
      </c>
      <c r="M17" s="349" t="str">
        <f aca="true">IF($D17&lt;&gt;"Serviço","",
          IF(AUTOEVENTO="manual",$A17,
                IF(ISERROR(MATCH($A17,$A$15:OFFSET($A17,-1,0),0)),MAX($M$15:OFFSET(M17,-1,0))+1,
                      INDEX($M$15:OFFSET(M17,-1,0),MATCH($A17,$A$15:OFFSET($A17,-1,0),0)))))</f>
        <v/>
      </c>
      <c r="N17" s="350" t="str">
        <f aca="true">IF($D17&lt;&gt;"Serviço","",
         IF(AUTOEVENTO="Manual",
                IF($A17=0,"&lt;-- defina o número do agrupador",
                       OFFSET(EVENTOS!$D$15,$A17-$A$15,0)),
                OFFSET($F$15,$A17,0)))</f>
        <v/>
      </c>
      <c r="O17" s="351"/>
      <c r="Q17" s="351"/>
      <c r="R17" s="352"/>
      <c r="S17" s="352"/>
      <c r="T17" s="352"/>
      <c r="U17" s="352"/>
      <c r="V17" s="352"/>
      <c r="W17" s="352"/>
      <c r="X17" s="352"/>
      <c r="Y17" s="352"/>
      <c r="Z17" s="353"/>
      <c r="AB17" s="354" t="n">
        <f aca="true">IF(AND($D17="Serviço",AB$12&lt;&gt;0,$H17&gt;0,OR(AUTOEVENTO&lt;&gt;"manual",$M17&lt;&gt;$A$15)),
        IF(Import.TipoArredondamento&lt;&gt;"TransfereGOV",
              ROUND(OFFSET($P17,0,AB$13),15-13*ORÇAMENTO!$AF$7)/$H17*OFFSET(ORÇAMENTO!$X$15,ROW(AB17)-ROW(AB$15),0),
              ROUND(ROUND(OFFSET($P17,0,AB$13),15-13*ORÇAMENTO!$AF$7)*OFFSET(ORÇAMENTO!$W$15,ROW(AB17)-ROW(AB$15),0),15-13*ORÇAMENTO!$AF$11)),
         0)</f>
        <v>0</v>
      </c>
      <c r="AC17" s="354" t="n">
        <f aca="true">IF(AND($D17="Serviço",AC$12&lt;&gt;0,$H17&gt;0,OR(AUTOEVENTO&lt;&gt;"manual",$M17&lt;&gt;$A$15)),
        IF(Import.TipoArredondamento&lt;&gt;"TransfereGOV",
              ROUND(OFFSET($P17,0,AC$13),15-13*ORÇAMENTO!$AF$7)/$H17*OFFSET(ORÇAMENTO!$X$15,ROW(AC17)-ROW(AC$15),0),
              ROUND(ROUND(OFFSET($P17,0,AC$13),15-13*ORÇAMENTO!$AF$7)*OFFSET(ORÇAMENTO!$W$15,ROW(AC17)-ROW(AC$15),0),15-13*ORÇAMENTO!$AF$11)),
         0)</f>
        <v>0</v>
      </c>
      <c r="AD17" s="354" t="n">
        <f aca="true">IF(AND($D17="Serviço",AD$12&lt;&gt;0,$H17&gt;0,OR(AUTOEVENTO&lt;&gt;"manual",$M17&lt;&gt;$A$15)),
        IF(Import.TipoArredondamento&lt;&gt;"TransfereGOV",
              ROUND(OFFSET($P17,0,AD$13),15-13*ORÇAMENTO!$AF$7)/$H17*OFFSET(ORÇAMENTO!$X$15,ROW(AD17)-ROW(AD$15),0),
              ROUND(ROUND(OFFSET($P17,0,AD$13),15-13*ORÇAMENTO!$AF$7)*OFFSET(ORÇAMENTO!$W$15,ROW(AD17)-ROW(AD$15),0),15-13*ORÇAMENTO!$AF$11)),
         0)</f>
        <v>0</v>
      </c>
      <c r="AE17" s="354" t="n">
        <f aca="true">IF(AND($D17="Serviço",AE$12&lt;&gt;0,$H17&gt;0,OR(AUTOEVENTO&lt;&gt;"manual",$M17&lt;&gt;$A$15)),
        IF(Import.TipoArredondamento&lt;&gt;"TransfereGOV",
              ROUND(OFFSET($P17,0,AE$13),15-13*ORÇAMENTO!$AF$7)/$H17*OFFSET(ORÇAMENTO!$X$15,ROW(AE17)-ROW(AE$15),0),
              ROUND(ROUND(OFFSET($P17,0,AE$13),15-13*ORÇAMENTO!$AF$7)*OFFSET(ORÇAMENTO!$W$15,ROW(AE17)-ROW(AE$15),0),15-13*ORÇAMENTO!$AF$11)),
         0)</f>
        <v>0</v>
      </c>
      <c r="AF17" s="354" t="n">
        <f aca="true">IF(AND($D17="Serviço",AF$12&lt;&gt;0,$H17&gt;0,OR(AUTOEVENTO&lt;&gt;"manual",$M17&lt;&gt;$A$15)),
        IF(Import.TipoArredondamento&lt;&gt;"TransfereGOV",
              ROUND(OFFSET($P17,0,AF$13),15-13*ORÇAMENTO!$AF$7)/$H17*OFFSET(ORÇAMENTO!$X$15,ROW(AF17)-ROW(AF$15),0),
              ROUND(ROUND(OFFSET($P17,0,AF$13),15-13*ORÇAMENTO!$AF$7)*OFFSET(ORÇAMENTO!$W$15,ROW(AF17)-ROW(AF$15),0),15-13*ORÇAMENTO!$AF$11)),
         0)</f>
        <v>0</v>
      </c>
      <c r="AG17" s="354" t="n">
        <f aca="true">IF(AND($D17="Serviço",AG$12&lt;&gt;0,$H17&gt;0,OR(AUTOEVENTO&lt;&gt;"manual",$M17&lt;&gt;$A$15)),
        IF(Import.TipoArredondamento&lt;&gt;"TransfereGOV",
              ROUND(OFFSET($P17,0,AG$13),15-13*ORÇAMENTO!$AF$7)/$H17*OFFSET(ORÇAMENTO!$X$15,ROW(AG17)-ROW(AG$15),0),
              ROUND(ROUND(OFFSET($P17,0,AG$13),15-13*ORÇAMENTO!$AF$7)*OFFSET(ORÇAMENTO!$W$15,ROW(AG17)-ROW(AG$15),0),15-13*ORÇAMENTO!$AF$11)),
         0)</f>
        <v>0</v>
      </c>
      <c r="AH17" s="354" t="n">
        <f aca="true">IF(AND($D17="Serviço",AH$12&lt;&gt;0,$H17&gt;0,OR(AUTOEVENTO&lt;&gt;"manual",$M17&lt;&gt;$A$15)),
        IF(Import.TipoArredondamento&lt;&gt;"TransfereGOV",
              ROUND(OFFSET($P17,0,AH$13),15-13*ORÇAMENTO!$AF$7)/$H17*OFFSET(ORÇAMENTO!$X$15,ROW(AH17)-ROW(AH$15),0),
              ROUND(ROUND(OFFSET($P17,0,AH$13),15-13*ORÇAMENTO!$AF$7)*OFFSET(ORÇAMENTO!$W$15,ROW(AH17)-ROW(AH$15),0),15-13*ORÇAMENTO!$AF$11)),
         0)</f>
        <v>0</v>
      </c>
      <c r="AI17" s="354" t="n">
        <f aca="true">IF(AND($D17="Serviço",AI$12&lt;&gt;0,$H17&gt;0,OR(AUTOEVENTO&lt;&gt;"manual",$M17&lt;&gt;$A$15)),
        IF(Import.TipoArredondamento&lt;&gt;"TransfereGOV",
              ROUND(OFFSET($P17,0,AI$13),15-13*ORÇAMENTO!$AF$7)/$H17*OFFSET(ORÇAMENTO!$X$15,ROW(AI17)-ROW(AI$15),0),
              ROUND(ROUND(OFFSET($P17,0,AI$13),15-13*ORÇAMENTO!$AF$7)*OFFSET(ORÇAMENTO!$W$15,ROW(AI17)-ROW(AI$15),0),15-13*ORÇAMENTO!$AF$11)),
         0)</f>
        <v>0</v>
      </c>
      <c r="AJ17" s="354" t="n">
        <f aca="true">IF(AND($D17="Serviço",AJ$12&lt;&gt;0,$H17&gt;0,OR(AUTOEVENTO&lt;&gt;"manual",$M17&lt;&gt;$A$15)),
        IF(Import.TipoArredondamento&lt;&gt;"TransfereGOV",
              ROUND(OFFSET($P17,0,AJ$13),15-13*ORÇAMENTO!$AF$7)/$H17*OFFSET(ORÇAMENTO!$X$15,ROW(AJ17)-ROW(AJ$15),0),
              ROUND(ROUND(OFFSET($P17,0,AJ$13),15-13*ORÇAMENTO!$AF$7)*OFFSET(ORÇAMENTO!$W$15,ROW(AJ17)-ROW(AJ$15),0),15-13*ORÇAMENTO!$AF$11)),
         0)</f>
        <v>0</v>
      </c>
      <c r="AK17" s="354" t="n">
        <f aca="true">IF(AND($D17="Serviço",AK$12&lt;&gt;0,$H17&gt;0,OR(AUTOEVENTO&lt;&gt;"manual",$M17&lt;&gt;$A$15)),
        IF(Import.TipoArredondamento&lt;&gt;"TransfereGOV",
              ROUND(OFFSET($P17,0,AK$13),15-13*ORÇAMENTO!$AF$7)/$H17*OFFSET(ORÇAMENTO!$X$15,ROW(AK17)-ROW(AK$15),0),
              ROUND(ROUND(OFFSET($P17,0,AK$13),15-13*ORÇAMENTO!$AF$7)*OFFSET(ORÇAMENTO!$W$15,ROW(AK17)-ROW(AK$15),0),15-13*ORÇAMENTO!$AF$11)),
         0)</f>
        <v>0</v>
      </c>
      <c r="AM17" s="355" t="n">
        <f aca="true">IF(OR($D17&lt;&gt;"Serviço",AND(AUTOEVENTO="Manual",$M17=$A$15)),0,
         IF(OFFSET(CRONOPLE!$F$15,$M17-$A$15,AM$13)=0,10^12,OFFSET(CRONOPLE!$F$15,$M17-$A$15,AM$13)))</f>
        <v>0</v>
      </c>
      <c r="AN17" s="355" t="n">
        <f aca="true">IF(OR($D17&lt;&gt;"Serviço",AND(AUTOEVENTO="Manual",$M17=$A$15)),0,
         IF(OFFSET(CRONOPLE!$F$15,$M17-$A$15,AN$13)=0,10^12,OFFSET(CRONOPLE!$F$15,$M17-$A$15,AN$13)))</f>
        <v>0</v>
      </c>
      <c r="AO17" s="355" t="n">
        <f aca="true">IF(OR($D17&lt;&gt;"Serviço",AND(AUTOEVENTO="Manual",$M17=$A$15)),0,
         IF(OFFSET(CRONOPLE!$F$15,$M17-$A$15,AO$13)=0,10^12,OFFSET(CRONOPLE!$F$15,$M17-$A$15,AO$13)))</f>
        <v>0</v>
      </c>
      <c r="AP17" s="355" t="n">
        <f aca="true">IF(OR($D17&lt;&gt;"Serviço",AND(AUTOEVENTO="Manual",$M17=$A$15)),0,
         IF(OFFSET(CRONOPLE!$F$15,$M17-$A$15,AP$13)=0,10^12,OFFSET(CRONOPLE!$F$15,$M17-$A$15,AP$13)))</f>
        <v>0</v>
      </c>
      <c r="AQ17" s="355" t="n">
        <f aca="true">IF(OR($D17&lt;&gt;"Serviço",AND(AUTOEVENTO="Manual",$M17=$A$15)),0,
         IF(OFFSET(CRONOPLE!$F$15,$M17-$A$15,AQ$13)=0,10^12,OFFSET(CRONOPLE!$F$15,$M17-$A$15,AQ$13)))</f>
        <v>0</v>
      </c>
      <c r="AR17" s="355" t="n">
        <f aca="true">IF(OR($D17&lt;&gt;"Serviço",AND(AUTOEVENTO="Manual",$M17=$A$15)),0,
         IF(OFFSET(CRONOPLE!$F$15,$M17-$A$15,AR$13)=0,10^12,OFFSET(CRONOPLE!$F$15,$M17-$A$15,AR$13)))</f>
        <v>0</v>
      </c>
      <c r="AS17" s="355" t="n">
        <f aca="true">IF(OR($D17&lt;&gt;"Serviço",AND(AUTOEVENTO="Manual",$M17=$A$15)),0,
         IF(OFFSET(CRONOPLE!$F$15,$M17-$A$15,AS$13)=0,10^12,OFFSET(CRONOPLE!$F$15,$M17-$A$15,AS$13)))</f>
        <v>0</v>
      </c>
      <c r="AT17" s="355" t="n">
        <f aca="true">IF(OR($D17&lt;&gt;"Serviço",AND(AUTOEVENTO="Manual",$M17=$A$15)),0,
         IF(OFFSET(CRONOPLE!$F$15,$M17-$A$15,AT$13)=0,10^12,OFFSET(CRONOPLE!$F$15,$M17-$A$15,AT$13)))</f>
        <v>0</v>
      </c>
      <c r="AU17" s="355" t="n">
        <f aca="true">IF(OR($D17&lt;&gt;"Serviço",AND(AUTOEVENTO="Manual",$M17=$A$15)),0,
         IF(OFFSET(CRONOPLE!$F$15,$M17-$A$15,AU$13)=0,10^12,OFFSET(CRONOPLE!$F$15,$M17-$A$15,AU$13)))</f>
        <v>0</v>
      </c>
      <c r="AV17" s="355" t="n">
        <f aca="true">IF(OR($D17&lt;&gt;"Serviço",AND(AUTOEVENTO="Manual",$M17=$A$15)),0,
         IF(OFFSET(CRONOPLE!$F$15,$M17-$A$15,AV$13)=0,10^12,OFFSET(CRONOPLE!$F$15,$M17-$A$15,AV$13)))</f>
        <v>0</v>
      </c>
      <c r="AX17" s="356" t="n">
        <f aca="true" t="array" ref="AX17:AX17">IF(OR($D17&lt;&gt;"Serviço",AND(AUTOEVENTO="Manual",$M17=$A$15),$M17&gt;(ROW(PLE.lastrow)-ROW(PLE.firstrow))),0,
           IF(OFFSET(PLE!$G$15,$M17-$A$15,AX$13)="",10^12,OFFSET(PLE!$G$15,$M17-$A$15,AX$13)))</f>
        <v>0</v>
      </c>
      <c r="AY17" s="356" t="n">
        <f aca="true" t="array" ref="AY17:AY17">IF(OR($D17&lt;&gt;"Serviço",AND(AUTOEVENTO="Manual",$M17=$A$15),$M17&gt;(ROW(PLE.lastrow)-ROW(PLE.firstrow))),0,
           IF(OFFSET(PLE!$G$15,$M17-$A$15,AY$13)="",10^12,OFFSET(PLE!$G$15,$M17-$A$15,AY$13)))</f>
        <v>0</v>
      </c>
      <c r="AZ17" s="356" t="n">
        <f aca="true" t="array" ref="AZ17:AZ17">IF(OR($D17&lt;&gt;"Serviço",AND(AUTOEVENTO="Manual",$M17=$A$15),$M17&gt;(ROW(PLE.lastrow)-ROW(PLE.firstrow))),0,
           IF(OFFSET(PLE!$G$15,$M17-$A$15,AZ$13)="",10^12,OFFSET(PLE!$G$15,$M17-$A$15,AZ$13)))</f>
        <v>0</v>
      </c>
      <c r="BA17" s="356" t="n">
        <f aca="true" t="array" ref="BA17:BA17">IF(OR($D17&lt;&gt;"Serviço",AND(AUTOEVENTO="Manual",$M17=$A$15),$M17&gt;(ROW(PLE.lastrow)-ROW(PLE.firstrow))),0,
           IF(OFFSET(PLE!$G$15,$M17-$A$15,BA$13)="",10^12,OFFSET(PLE!$G$15,$M17-$A$15,BA$13)))</f>
        <v>0</v>
      </c>
      <c r="BB17" s="356" t="n">
        <f aca="true" t="array" ref="BB17:BB17">IF(OR($D17&lt;&gt;"Serviço",AND(AUTOEVENTO="Manual",$M17=$A$15),$M17&gt;(ROW(PLE.lastrow)-ROW(PLE.firstrow))),0,
           IF(OFFSET(PLE!$G$15,$M17-$A$15,BB$13)="",10^12,OFFSET(PLE!$G$15,$M17-$A$15,BB$13)))</f>
        <v>0</v>
      </c>
      <c r="BC17" s="356" t="n">
        <f aca="true" t="array" ref="BC17:BC17">IF(OR($D17&lt;&gt;"Serviço",AND(AUTOEVENTO="Manual",$M17=$A$15),$M17&gt;(ROW(PLE.lastrow)-ROW(PLE.firstrow))),0,
           IF(OFFSET(PLE!$G$15,$M17-$A$15,BC$13)="",10^12,OFFSET(PLE!$G$15,$M17-$A$15,BC$13)))</f>
        <v>0</v>
      </c>
      <c r="BD17" s="356" t="n">
        <f aca="true" t="array" ref="BD17:BD17">IF(OR($D17&lt;&gt;"Serviço",AND(AUTOEVENTO="Manual",$M17=$A$15),$M17&gt;(ROW(PLE.lastrow)-ROW(PLE.firstrow))),0,
           IF(OFFSET(PLE!$G$15,$M17-$A$15,BD$13)="",10^12,OFFSET(PLE!$G$15,$M17-$A$15,BD$13)))</f>
        <v>0</v>
      </c>
      <c r="BE17" s="356" t="n">
        <f aca="true" t="array" ref="BE17:BE17">IF(OR($D17&lt;&gt;"Serviço",AND(AUTOEVENTO="Manual",$M17=$A$15),$M17&gt;(ROW(PLE.lastrow)-ROW(PLE.firstrow))),0,
           IF(OFFSET(PLE!$G$15,$M17-$A$15,BE$13)="",10^12,OFFSET(PLE!$G$15,$M17-$A$15,BE$13)))</f>
        <v>0</v>
      </c>
      <c r="BF17" s="356" t="n">
        <f aca="true" t="array" ref="BF17:BF17">IF(OR($D17&lt;&gt;"Serviço",AND(AUTOEVENTO="Manual",$M17=$A$15),$M17&gt;(ROW(PLE.lastrow)-ROW(PLE.firstrow))),0,
           IF(OFFSET(PLE!$G$15,$M17-$A$15,BF$13)="",10^12,OFFSET(PLE!$G$15,$M17-$A$15,BF$13)))</f>
        <v>0</v>
      </c>
      <c r="BG17" s="356" t="n">
        <f aca="true" t="array" ref="BG17:BG17">IF(OR($D17&lt;&gt;"Serviço",AND(AUTOEVENTO="Manual",$M17=$A$15),$M17&gt;(ROW(PLE.lastrow)-ROW(PLE.firstrow))),0,
           IF(OFFSET(PLE!$G$15,$M17-$A$15,BG$13)="",10^12,OFFSET(PLE!$G$15,$M17-$A$15,BG$13)))</f>
        <v>0</v>
      </c>
    </row>
    <row r="18" customFormat="false" ht="12.8" hidden="false" customHeight="false" outlineLevel="0" collapsed="false">
      <c r="A18" s="48" t="str">
        <f aca="true">IFERROR(IF(AUTOEVENTO="Manual",IF(K18&lt;&gt;"",MIN(VALUE(LEFT(K18,FIND(".",K18)-1)),COUNTA(EVENTOS.Lista)),0),IF(OR($B18&gt;AUTOEVENTO,$B18="S",$B18=0),SUBSTITUTE(OFFSET($A18,-1,0),IF($D18="Serviço",".",""),""),$L18&amp;".")),0)</f>
        <v>2</v>
      </c>
      <c r="B18" s="48" t="str">
        <f aca="true">OFFSET(ORÇAMENTO!C$15,$L18,0)</f>
        <v>S</v>
      </c>
      <c r="C18" s="48" t="str">
        <f aca="true">OFFSET(ORÇAMENTO!L$15,$L18,0)</f>
        <v/>
      </c>
      <c r="D18" s="206" t="str">
        <f aca="true">OFFSET(ORÇAMENTO!N$15,$L18,0)</f>
        <v>Serviço</v>
      </c>
      <c r="E18" s="207" t="str">
        <f aca="true">OFFSET(ORÇAMENTO!O$15,$L18,0)</f>
        <v>-</v>
      </c>
      <c r="F18" s="343" t="str">
        <f aca="true">OFFSET(ORÇAMENTO!R$15,$L18,0)</f>
        <v>(Código não identificado nas referências)</v>
      </c>
      <c r="G18" s="344" t="str">
        <f aca="true">IF($D18&lt;&gt;"Serviço","",OFFSET(ORÇAMENTO!S$15,$L18,0))</f>
        <v>-</v>
      </c>
      <c r="H18" s="212" t="n">
        <f aca="true" t="array" ref="H18:H18">IF($D18&lt;&gt;"Serviço",0,IF(ACOMPANHAMENTO="BM",ROUND(OFFSET(ORÇAMENTO!AJ$15,$L18,0),15-13*ORÇAMENTO!$AF$7),IF(IFERROR(CÁLCULO.FrentesPreenchidas,0)=0,0,SUM(ROUND(OFFSET($P18,0,1,1,CÁLCULO.FrentesPreenchidas),15-13*ORÇAMENTO!$AF$7)))))</f>
        <v>12</v>
      </c>
      <c r="I18" s="345" t="s">
        <v>895</v>
      </c>
      <c r="J18" s="346" t="str">
        <f aca="false" t="array" ref="J18:J18">IF(OR(B18&lt;&gt;"S",CÁLCULO.FrentesPreenchidas=0),"",IF(AND(ACOMPANHAMENTO="PLE",AUTOEVENTO="Manual",OR(H18&gt;0,ORÇAMENTO!AC18="QUANT."),OR(K18="",M18=0,N18="")),"►E",IF(AND(ACOMPANHAMENTO="PLE",ORÇAMENTO!AC18="QUANT."),"►Q",IF(AND(ACOMPANHAMENTO="PLE",H18&lt;&gt;SUMPRODUCT(($Q$1:$AA$1=1)*ROUND(Q18:AA18,15))),"►S",IF(AND(COUNTIF($P$11:$AA$11,"▼")=0,H18&gt;0,I18=""),"◄M","")))))</f>
        <v/>
      </c>
      <c r="K18" s="347"/>
      <c r="L18" s="348" t="n">
        <f aca="true">OFFSET(L18,-1,0)+1</f>
        <v>3</v>
      </c>
      <c r="M18" s="349" t="n">
        <f aca="true">IF($D18&lt;&gt;"Serviço","",
          IF(AUTOEVENTO="manual",$A18,
                IF(ISERROR(MATCH($A18,$A$15:OFFSET($A18,-1,0),0)),MAX($M$15:OFFSET(M18,-1,0))+1,
                      INDEX($M$15:OFFSET(M18,-1,0),MATCH($A18,$A$15:OFFSET($A18,-1,0),0)))))</f>
        <v>1</v>
      </c>
      <c r="N18" s="350" t="str">
        <f aca="true">IF($D18&lt;&gt;"Serviço","",
         IF(AUTOEVENTO="Manual",
                IF($A18=0,"&lt;-- defina o número do agrupador",
                       OFFSET(EVENTOS!$D$15,$A18-$A$15,0)),
                OFFSET($F$15,$A18,0)))</f>
        <v>ADMINISTRAÇÃO DA OBRA</v>
      </c>
      <c r="O18" s="351"/>
      <c r="Q18" s="351"/>
      <c r="R18" s="352"/>
      <c r="S18" s="352"/>
      <c r="T18" s="352"/>
      <c r="U18" s="352"/>
      <c r="V18" s="352"/>
      <c r="W18" s="352"/>
      <c r="X18" s="352"/>
      <c r="Y18" s="352"/>
      <c r="Z18" s="353"/>
      <c r="AB18" s="354" t="n">
        <f aca="true">IF(AND($D18="Serviço",AB$12&lt;&gt;0,$H18&gt;0,OR(AUTOEVENTO&lt;&gt;"manual",$M18&lt;&gt;$A$15)),
        IF(Import.TipoArredondamento&lt;&gt;"TransfereGOV",
              ROUND(OFFSET($P18,0,AB$13),15-13*ORÇAMENTO!$AF$7)/$H18*OFFSET(ORÇAMENTO!$X$15,ROW(AB18)-ROW(AB$15),0),
              ROUND(ROUND(OFFSET($P18,0,AB$13),15-13*ORÇAMENTO!$AF$7)*OFFSET(ORÇAMENTO!$W$15,ROW(AB18)-ROW(AB$15),0),15-13*ORÇAMENTO!$AF$11)),
         0)</f>
        <v>0</v>
      </c>
      <c r="AC18" s="354" t="n">
        <f aca="true">IF(AND($D18="Serviço",AC$12&lt;&gt;0,$H18&gt;0,OR(AUTOEVENTO&lt;&gt;"manual",$M18&lt;&gt;$A$15)),
        IF(Import.TipoArredondamento&lt;&gt;"TransfereGOV",
              ROUND(OFFSET($P18,0,AC$13),15-13*ORÇAMENTO!$AF$7)/$H18*OFFSET(ORÇAMENTO!$X$15,ROW(AC18)-ROW(AC$15),0),
              ROUND(ROUND(OFFSET($P18,0,AC$13),15-13*ORÇAMENTO!$AF$7)*OFFSET(ORÇAMENTO!$W$15,ROW(AC18)-ROW(AC$15),0),15-13*ORÇAMENTO!$AF$11)),
         0)</f>
        <v>0</v>
      </c>
      <c r="AD18" s="354" t="n">
        <f aca="true">IF(AND($D18="Serviço",AD$12&lt;&gt;0,$H18&gt;0,OR(AUTOEVENTO&lt;&gt;"manual",$M18&lt;&gt;$A$15)),
        IF(Import.TipoArredondamento&lt;&gt;"TransfereGOV",
              ROUND(OFFSET($P18,0,AD$13),15-13*ORÇAMENTO!$AF$7)/$H18*OFFSET(ORÇAMENTO!$X$15,ROW(AD18)-ROW(AD$15),0),
              ROUND(ROUND(OFFSET($P18,0,AD$13),15-13*ORÇAMENTO!$AF$7)*OFFSET(ORÇAMENTO!$W$15,ROW(AD18)-ROW(AD$15),0),15-13*ORÇAMENTO!$AF$11)),
         0)</f>
        <v>0</v>
      </c>
      <c r="AE18" s="354" t="n">
        <f aca="true">IF(AND($D18="Serviço",AE$12&lt;&gt;0,$H18&gt;0,OR(AUTOEVENTO&lt;&gt;"manual",$M18&lt;&gt;$A$15)),
        IF(Import.TipoArredondamento&lt;&gt;"TransfereGOV",
              ROUND(OFFSET($P18,0,AE$13),15-13*ORÇAMENTO!$AF$7)/$H18*OFFSET(ORÇAMENTO!$X$15,ROW(AE18)-ROW(AE$15),0),
              ROUND(ROUND(OFFSET($P18,0,AE$13),15-13*ORÇAMENTO!$AF$7)*OFFSET(ORÇAMENTO!$W$15,ROW(AE18)-ROW(AE$15),0),15-13*ORÇAMENTO!$AF$11)),
         0)</f>
        <v>0</v>
      </c>
      <c r="AF18" s="354" t="n">
        <f aca="true">IF(AND($D18="Serviço",AF$12&lt;&gt;0,$H18&gt;0,OR(AUTOEVENTO&lt;&gt;"manual",$M18&lt;&gt;$A$15)),
        IF(Import.TipoArredondamento&lt;&gt;"TransfereGOV",
              ROUND(OFFSET($P18,0,AF$13),15-13*ORÇAMENTO!$AF$7)/$H18*OFFSET(ORÇAMENTO!$X$15,ROW(AF18)-ROW(AF$15),0),
              ROUND(ROUND(OFFSET($P18,0,AF$13),15-13*ORÇAMENTO!$AF$7)*OFFSET(ORÇAMENTO!$W$15,ROW(AF18)-ROW(AF$15),0),15-13*ORÇAMENTO!$AF$11)),
         0)</f>
        <v>0</v>
      </c>
      <c r="AG18" s="354" t="n">
        <f aca="true">IF(AND($D18="Serviço",AG$12&lt;&gt;0,$H18&gt;0,OR(AUTOEVENTO&lt;&gt;"manual",$M18&lt;&gt;$A$15)),
        IF(Import.TipoArredondamento&lt;&gt;"TransfereGOV",
              ROUND(OFFSET($P18,0,AG$13),15-13*ORÇAMENTO!$AF$7)/$H18*OFFSET(ORÇAMENTO!$X$15,ROW(AG18)-ROW(AG$15),0),
              ROUND(ROUND(OFFSET($P18,0,AG$13),15-13*ORÇAMENTO!$AF$7)*OFFSET(ORÇAMENTO!$W$15,ROW(AG18)-ROW(AG$15),0),15-13*ORÇAMENTO!$AF$11)),
         0)</f>
        <v>0</v>
      </c>
      <c r="AH18" s="354" t="n">
        <f aca="true">IF(AND($D18="Serviço",AH$12&lt;&gt;0,$H18&gt;0,OR(AUTOEVENTO&lt;&gt;"manual",$M18&lt;&gt;$A$15)),
        IF(Import.TipoArredondamento&lt;&gt;"TransfereGOV",
              ROUND(OFFSET($P18,0,AH$13),15-13*ORÇAMENTO!$AF$7)/$H18*OFFSET(ORÇAMENTO!$X$15,ROW(AH18)-ROW(AH$15),0),
              ROUND(ROUND(OFFSET($P18,0,AH$13),15-13*ORÇAMENTO!$AF$7)*OFFSET(ORÇAMENTO!$W$15,ROW(AH18)-ROW(AH$15),0),15-13*ORÇAMENTO!$AF$11)),
         0)</f>
        <v>0</v>
      </c>
      <c r="AI18" s="354" t="n">
        <f aca="true">IF(AND($D18="Serviço",AI$12&lt;&gt;0,$H18&gt;0,OR(AUTOEVENTO&lt;&gt;"manual",$M18&lt;&gt;$A$15)),
        IF(Import.TipoArredondamento&lt;&gt;"TransfereGOV",
              ROUND(OFFSET($P18,0,AI$13),15-13*ORÇAMENTO!$AF$7)/$H18*OFFSET(ORÇAMENTO!$X$15,ROW(AI18)-ROW(AI$15),0),
              ROUND(ROUND(OFFSET($P18,0,AI$13),15-13*ORÇAMENTO!$AF$7)*OFFSET(ORÇAMENTO!$W$15,ROW(AI18)-ROW(AI$15),0),15-13*ORÇAMENTO!$AF$11)),
         0)</f>
        <v>0</v>
      </c>
      <c r="AJ18" s="354" t="n">
        <f aca="true">IF(AND($D18="Serviço",AJ$12&lt;&gt;0,$H18&gt;0,OR(AUTOEVENTO&lt;&gt;"manual",$M18&lt;&gt;$A$15)),
        IF(Import.TipoArredondamento&lt;&gt;"TransfereGOV",
              ROUND(OFFSET($P18,0,AJ$13),15-13*ORÇAMENTO!$AF$7)/$H18*OFFSET(ORÇAMENTO!$X$15,ROW(AJ18)-ROW(AJ$15),0),
              ROUND(ROUND(OFFSET($P18,0,AJ$13),15-13*ORÇAMENTO!$AF$7)*OFFSET(ORÇAMENTO!$W$15,ROW(AJ18)-ROW(AJ$15),0),15-13*ORÇAMENTO!$AF$11)),
         0)</f>
        <v>0</v>
      </c>
      <c r="AK18" s="354" t="n">
        <f aca="true">IF(AND($D18="Serviço",AK$12&lt;&gt;0,$H18&gt;0,OR(AUTOEVENTO&lt;&gt;"manual",$M18&lt;&gt;$A$15)),
        IF(Import.TipoArredondamento&lt;&gt;"TransfereGOV",
              ROUND(OFFSET($P18,0,AK$13),15-13*ORÇAMENTO!$AF$7)/$H18*OFFSET(ORÇAMENTO!$X$15,ROW(AK18)-ROW(AK$15),0),
              ROUND(ROUND(OFFSET($P18,0,AK$13),15-13*ORÇAMENTO!$AF$7)*OFFSET(ORÇAMENTO!$W$15,ROW(AK18)-ROW(AK$15),0),15-13*ORÇAMENTO!$AF$11)),
         0)</f>
        <v>0</v>
      </c>
      <c r="AM18" s="355" t="n">
        <f aca="true">IF(OR($D18&lt;&gt;"Serviço",AND(AUTOEVENTO="Manual",$M18=$A$15)),0,
         IF(OFFSET(CRONOPLE!$F$15,$M18-$A$15,AM$13)=0,10^12,OFFSET(CRONOPLE!$F$15,$M18-$A$15,AM$13)))</f>
        <v>1000000000000</v>
      </c>
      <c r="AN18" s="355" t="n">
        <f aca="true">IF(OR($D18&lt;&gt;"Serviço",AND(AUTOEVENTO="Manual",$M18=$A$15)),0,
         IF(OFFSET(CRONOPLE!$F$15,$M18-$A$15,AN$13)=0,10^12,OFFSET(CRONOPLE!$F$15,$M18-$A$15,AN$13)))</f>
        <v>1000000000000</v>
      </c>
      <c r="AO18" s="355" t="n">
        <f aca="true">IF(OR($D18&lt;&gt;"Serviço",AND(AUTOEVENTO="Manual",$M18=$A$15)),0,
         IF(OFFSET(CRONOPLE!$F$15,$M18-$A$15,AO$13)=0,10^12,OFFSET(CRONOPLE!$F$15,$M18-$A$15,AO$13)))</f>
        <v>1000000000000</v>
      </c>
      <c r="AP18" s="355" t="n">
        <f aca="true">IF(OR($D18&lt;&gt;"Serviço",AND(AUTOEVENTO="Manual",$M18=$A$15)),0,
         IF(OFFSET(CRONOPLE!$F$15,$M18-$A$15,AP$13)=0,10^12,OFFSET(CRONOPLE!$F$15,$M18-$A$15,AP$13)))</f>
        <v>1000000000000</v>
      </c>
      <c r="AQ18" s="355" t="n">
        <f aca="true">IF(OR($D18&lt;&gt;"Serviço",AND(AUTOEVENTO="Manual",$M18=$A$15)),0,
         IF(OFFSET(CRONOPLE!$F$15,$M18-$A$15,AQ$13)=0,10^12,OFFSET(CRONOPLE!$F$15,$M18-$A$15,AQ$13)))</f>
        <v>1000000000000</v>
      </c>
      <c r="AR18" s="355" t="n">
        <f aca="true">IF(OR($D18&lt;&gt;"Serviço",AND(AUTOEVENTO="Manual",$M18=$A$15)),0,
         IF(OFFSET(CRONOPLE!$F$15,$M18-$A$15,AR$13)=0,10^12,OFFSET(CRONOPLE!$F$15,$M18-$A$15,AR$13)))</f>
        <v>1000000000000</v>
      </c>
      <c r="AS18" s="355" t="n">
        <f aca="true">IF(OR($D18&lt;&gt;"Serviço",AND(AUTOEVENTO="Manual",$M18=$A$15)),0,
         IF(OFFSET(CRONOPLE!$F$15,$M18-$A$15,AS$13)=0,10^12,OFFSET(CRONOPLE!$F$15,$M18-$A$15,AS$13)))</f>
        <v>1000000000000</v>
      </c>
      <c r="AT18" s="355" t="n">
        <f aca="true">IF(OR($D18&lt;&gt;"Serviço",AND(AUTOEVENTO="Manual",$M18=$A$15)),0,
         IF(OFFSET(CRONOPLE!$F$15,$M18-$A$15,AT$13)=0,10^12,OFFSET(CRONOPLE!$F$15,$M18-$A$15,AT$13)))</f>
        <v>1000000000000</v>
      </c>
      <c r="AU18" s="355" t="n">
        <f aca="true">IF(OR($D18&lt;&gt;"Serviço",AND(AUTOEVENTO="Manual",$M18=$A$15)),0,
         IF(OFFSET(CRONOPLE!$F$15,$M18-$A$15,AU$13)=0,10^12,OFFSET(CRONOPLE!$F$15,$M18-$A$15,AU$13)))</f>
        <v>1000000000000</v>
      </c>
      <c r="AV18" s="355" t="n">
        <f aca="true">IF(OR($D18&lt;&gt;"Serviço",AND(AUTOEVENTO="Manual",$M18=$A$15)),0,
         IF(OFFSET(CRONOPLE!$F$15,$M18-$A$15,AV$13)=0,10^12,OFFSET(CRONOPLE!$F$15,$M18-$A$15,AV$13)))</f>
        <v>1000000000000</v>
      </c>
      <c r="AX18" s="356" t="n">
        <f aca="true" t="array" ref="AX18:AX18">IF(OR($D18&lt;&gt;"Serviço",AND(AUTOEVENTO="Manual",$M18=$A$15),$M18&gt;(ROW(PLE.lastrow)-ROW(PLE.firstrow))),0,
           IF(OFFSET(PLE!$G$15,$M18-$A$15,AX$13)="",10^12,OFFSET(PLE!$G$15,$M18-$A$15,AX$13)))</f>
        <v>1000000000000</v>
      </c>
      <c r="AY18" s="356" t="n">
        <f aca="true" t="array" ref="AY18:AY18">IF(OR($D18&lt;&gt;"Serviço",AND(AUTOEVENTO="Manual",$M18=$A$15),$M18&gt;(ROW(PLE.lastrow)-ROW(PLE.firstrow))),0,
           IF(OFFSET(PLE!$G$15,$M18-$A$15,AY$13)="",10^12,OFFSET(PLE!$G$15,$M18-$A$15,AY$13)))</f>
        <v>1000000000000</v>
      </c>
      <c r="AZ18" s="356" t="n">
        <f aca="true" t="array" ref="AZ18:AZ18">IF(OR($D18&lt;&gt;"Serviço",AND(AUTOEVENTO="Manual",$M18=$A$15),$M18&gt;(ROW(PLE.lastrow)-ROW(PLE.firstrow))),0,
           IF(OFFSET(PLE!$G$15,$M18-$A$15,AZ$13)="",10^12,OFFSET(PLE!$G$15,$M18-$A$15,AZ$13)))</f>
        <v>1000000000000</v>
      </c>
      <c r="BA18" s="356" t="n">
        <f aca="true" t="array" ref="BA18:BA18">IF(OR($D18&lt;&gt;"Serviço",AND(AUTOEVENTO="Manual",$M18=$A$15),$M18&gt;(ROW(PLE.lastrow)-ROW(PLE.firstrow))),0,
           IF(OFFSET(PLE!$G$15,$M18-$A$15,BA$13)="",10^12,OFFSET(PLE!$G$15,$M18-$A$15,BA$13)))</f>
        <v>1000000000000</v>
      </c>
      <c r="BB18" s="356" t="n">
        <f aca="true" t="array" ref="BB18:BB18">IF(OR($D18&lt;&gt;"Serviço",AND(AUTOEVENTO="Manual",$M18=$A$15),$M18&gt;(ROW(PLE.lastrow)-ROW(PLE.firstrow))),0,
           IF(OFFSET(PLE!$G$15,$M18-$A$15,BB$13)="",10^12,OFFSET(PLE!$G$15,$M18-$A$15,BB$13)))</f>
        <v>1000000000000</v>
      </c>
      <c r="BC18" s="356" t="n">
        <f aca="true" t="array" ref="BC18:BC18">IF(OR($D18&lt;&gt;"Serviço",AND(AUTOEVENTO="Manual",$M18=$A$15),$M18&gt;(ROW(PLE.lastrow)-ROW(PLE.firstrow))),0,
           IF(OFFSET(PLE!$G$15,$M18-$A$15,BC$13)="",10^12,OFFSET(PLE!$G$15,$M18-$A$15,BC$13)))</f>
        <v>1000000000000</v>
      </c>
      <c r="BD18" s="356" t="n">
        <f aca="true" t="array" ref="BD18:BD18">IF(OR($D18&lt;&gt;"Serviço",AND(AUTOEVENTO="Manual",$M18=$A$15),$M18&gt;(ROW(PLE.lastrow)-ROW(PLE.firstrow))),0,
           IF(OFFSET(PLE!$G$15,$M18-$A$15,BD$13)="",10^12,OFFSET(PLE!$G$15,$M18-$A$15,BD$13)))</f>
        <v>1000000000000</v>
      </c>
      <c r="BE18" s="356" t="n">
        <f aca="true" t="array" ref="BE18:BE18">IF(OR($D18&lt;&gt;"Serviço",AND(AUTOEVENTO="Manual",$M18=$A$15),$M18&gt;(ROW(PLE.lastrow)-ROW(PLE.firstrow))),0,
           IF(OFFSET(PLE!$G$15,$M18-$A$15,BE$13)="",10^12,OFFSET(PLE!$G$15,$M18-$A$15,BE$13)))</f>
        <v>1000000000000</v>
      </c>
      <c r="BF18" s="356" t="n">
        <f aca="true" t="array" ref="BF18:BF18">IF(OR($D18&lt;&gt;"Serviço",AND(AUTOEVENTO="Manual",$M18=$A$15),$M18&gt;(ROW(PLE.lastrow)-ROW(PLE.firstrow))),0,
           IF(OFFSET(PLE!$G$15,$M18-$A$15,BF$13)="",10^12,OFFSET(PLE!$G$15,$M18-$A$15,BF$13)))</f>
        <v>1000000000000</v>
      </c>
      <c r="BG18" s="356" t="n">
        <f aca="true" t="array" ref="BG18:BG18">IF(OR($D18&lt;&gt;"Serviço",AND(AUTOEVENTO="Manual",$M18=$A$15),$M18&gt;(ROW(PLE.lastrow)-ROW(PLE.firstrow))),0,
           IF(OFFSET(PLE!$G$15,$M18-$A$15,BG$13)="",10^12,OFFSET(PLE!$G$15,$M18-$A$15,BG$13)))</f>
        <v>1000000000000</v>
      </c>
    </row>
    <row r="19" customFormat="false" ht="12.8" hidden="false" customHeight="false" outlineLevel="0" collapsed="false">
      <c r="A19" s="48" t="str">
        <f aca="true">IFERROR(IF(AUTOEVENTO="Manual",IF(K19&lt;&gt;"",MIN(VALUE(LEFT(K19,FIND(".",K19)-1)),COUNTA(EVENTOS.Lista)),0),IF(OR($B19&gt;AUTOEVENTO,$B19="S",$B19=0),SUBSTITUTE(OFFSET($A19,-1,0),IF($D19="Serviço",".",""),""),$L19&amp;".")),0)</f>
        <v>4.</v>
      </c>
      <c r="B19" s="48" t="n">
        <f aca="true">OFFSET(ORÇAMENTO!C$15,$L19,0)</f>
        <v>2</v>
      </c>
      <c r="C19" s="48" t="str">
        <f aca="true">OFFSET(ORÇAMENTO!L$15,$L19,0)</f>
        <v>F</v>
      </c>
      <c r="D19" s="206" t="str">
        <f aca="true">OFFSET(ORÇAMENTO!N$15,$L19,0)</f>
        <v>Nível 2</v>
      </c>
      <c r="E19" s="207" t="str">
        <f aca="true">OFFSET(ORÇAMENTO!O$15,$L19,0)</f>
        <v>1.2.</v>
      </c>
      <c r="F19" s="343" t="str">
        <f aca="true">OFFSET(ORÇAMENTO!R$15,$L19,0)</f>
        <v>MOBILIZAÇÃO E DESMOBILIZAÇÃO</v>
      </c>
      <c r="G19" s="344" t="str">
        <f aca="true">IF($D19&lt;&gt;"Serviço","",OFFSET(ORÇAMENTO!S$15,$L19,0))</f>
        <v/>
      </c>
      <c r="H19" s="212" t="n">
        <f aca="true" t="array" ref="H19:H19">IF($D19&lt;&gt;"Serviço",0,IF(ACOMPANHAMENTO="BM",ROUND(OFFSET(ORÇAMENTO!AJ$15,$L19,0),15-13*ORÇAMENTO!$AF$7),IF(IFERROR(CÁLCULO.FrentesPreenchidas,0)=0,0,SUM(ROUND(OFFSET($P19,0,1,1,CÁLCULO.FrentesPreenchidas),15-13*ORÇAMENTO!$AF$7)))))</f>
        <v>0</v>
      </c>
      <c r="I19" s="345"/>
      <c r="J19" s="346" t="str">
        <f aca="false" t="array" ref="J19:J19">IF(OR(B19&lt;&gt;"S",CÁLCULO.FrentesPreenchidas=0),"",IF(AND(ACOMPANHAMENTO="PLE",AUTOEVENTO="Manual",OR(H19&gt;0,ORÇAMENTO!AC19="QUANT."),OR(K19="",M19=0,N19="")),"►E",IF(AND(ACOMPANHAMENTO="PLE",ORÇAMENTO!AC19="QUANT."),"►Q",IF(AND(ACOMPANHAMENTO="PLE",H19&lt;&gt;SUMPRODUCT(($Q$1:$AA$1=1)*ROUND(Q19:AA19,15))),"►S",IF(AND(COUNTIF($P$11:$AA$11,"▼")=0,H19&gt;0,I19=""),"◄M","")))))</f>
        <v/>
      </c>
      <c r="K19" s="347"/>
      <c r="L19" s="348" t="n">
        <f aca="true">OFFSET(L19,-1,0)+1</f>
        <v>4</v>
      </c>
      <c r="M19" s="349" t="str">
        <f aca="true">IF($D19&lt;&gt;"Serviço","",
          IF(AUTOEVENTO="manual",$A19,
                IF(ISERROR(MATCH($A19,$A$15:OFFSET($A19,-1,0),0)),MAX($M$15:OFFSET(M19,-1,0))+1,
                      INDEX($M$15:OFFSET(M19,-1,0),MATCH($A19,$A$15:OFFSET($A19,-1,0),0)))))</f>
        <v/>
      </c>
      <c r="N19" s="350" t="str">
        <f aca="true">IF($D19&lt;&gt;"Serviço","",
         IF(AUTOEVENTO="Manual",
                IF($A19=0,"&lt;-- defina o número do agrupador",
                       OFFSET(EVENTOS!$D$15,$A19-$A$15,0)),
                OFFSET($F$15,$A19,0)))</f>
        <v/>
      </c>
      <c r="O19" s="351"/>
      <c r="Q19" s="351"/>
      <c r="R19" s="352"/>
      <c r="S19" s="352"/>
      <c r="T19" s="352"/>
      <c r="U19" s="352"/>
      <c r="V19" s="352"/>
      <c r="W19" s="352"/>
      <c r="X19" s="352"/>
      <c r="Y19" s="352"/>
      <c r="Z19" s="353"/>
      <c r="AB19" s="354" t="n">
        <f aca="true">IF(AND($D19="Serviço",AB$12&lt;&gt;0,$H19&gt;0,OR(AUTOEVENTO&lt;&gt;"manual",$M19&lt;&gt;$A$15)),
        IF(Import.TipoArredondamento&lt;&gt;"TransfereGOV",
              ROUND(OFFSET($P19,0,AB$13),15-13*ORÇAMENTO!$AF$7)/$H19*OFFSET(ORÇAMENTO!$X$15,ROW(AB19)-ROW(AB$15),0),
              ROUND(ROUND(OFFSET($P19,0,AB$13),15-13*ORÇAMENTO!$AF$7)*OFFSET(ORÇAMENTO!$W$15,ROW(AB19)-ROW(AB$15),0),15-13*ORÇAMENTO!$AF$11)),
         0)</f>
        <v>0</v>
      </c>
      <c r="AC19" s="354" t="n">
        <f aca="true">IF(AND($D19="Serviço",AC$12&lt;&gt;0,$H19&gt;0,OR(AUTOEVENTO&lt;&gt;"manual",$M19&lt;&gt;$A$15)),
        IF(Import.TipoArredondamento&lt;&gt;"TransfereGOV",
              ROUND(OFFSET($P19,0,AC$13),15-13*ORÇAMENTO!$AF$7)/$H19*OFFSET(ORÇAMENTO!$X$15,ROW(AC19)-ROW(AC$15),0),
              ROUND(ROUND(OFFSET($P19,0,AC$13),15-13*ORÇAMENTO!$AF$7)*OFFSET(ORÇAMENTO!$W$15,ROW(AC19)-ROW(AC$15),0),15-13*ORÇAMENTO!$AF$11)),
         0)</f>
        <v>0</v>
      </c>
      <c r="AD19" s="354" t="n">
        <f aca="true">IF(AND($D19="Serviço",AD$12&lt;&gt;0,$H19&gt;0,OR(AUTOEVENTO&lt;&gt;"manual",$M19&lt;&gt;$A$15)),
        IF(Import.TipoArredondamento&lt;&gt;"TransfereGOV",
              ROUND(OFFSET($P19,0,AD$13),15-13*ORÇAMENTO!$AF$7)/$H19*OFFSET(ORÇAMENTO!$X$15,ROW(AD19)-ROW(AD$15),0),
              ROUND(ROUND(OFFSET($P19,0,AD$13),15-13*ORÇAMENTO!$AF$7)*OFFSET(ORÇAMENTO!$W$15,ROW(AD19)-ROW(AD$15),0),15-13*ORÇAMENTO!$AF$11)),
         0)</f>
        <v>0</v>
      </c>
      <c r="AE19" s="354" t="n">
        <f aca="true">IF(AND($D19="Serviço",AE$12&lt;&gt;0,$H19&gt;0,OR(AUTOEVENTO&lt;&gt;"manual",$M19&lt;&gt;$A$15)),
        IF(Import.TipoArredondamento&lt;&gt;"TransfereGOV",
              ROUND(OFFSET($P19,0,AE$13),15-13*ORÇAMENTO!$AF$7)/$H19*OFFSET(ORÇAMENTO!$X$15,ROW(AE19)-ROW(AE$15),0),
              ROUND(ROUND(OFFSET($P19,0,AE$13),15-13*ORÇAMENTO!$AF$7)*OFFSET(ORÇAMENTO!$W$15,ROW(AE19)-ROW(AE$15),0),15-13*ORÇAMENTO!$AF$11)),
         0)</f>
        <v>0</v>
      </c>
      <c r="AF19" s="354" t="n">
        <f aca="true">IF(AND($D19="Serviço",AF$12&lt;&gt;0,$H19&gt;0,OR(AUTOEVENTO&lt;&gt;"manual",$M19&lt;&gt;$A$15)),
        IF(Import.TipoArredondamento&lt;&gt;"TransfereGOV",
              ROUND(OFFSET($P19,0,AF$13),15-13*ORÇAMENTO!$AF$7)/$H19*OFFSET(ORÇAMENTO!$X$15,ROW(AF19)-ROW(AF$15),0),
              ROUND(ROUND(OFFSET($P19,0,AF$13),15-13*ORÇAMENTO!$AF$7)*OFFSET(ORÇAMENTO!$W$15,ROW(AF19)-ROW(AF$15),0),15-13*ORÇAMENTO!$AF$11)),
         0)</f>
        <v>0</v>
      </c>
      <c r="AG19" s="354" t="n">
        <f aca="true">IF(AND($D19="Serviço",AG$12&lt;&gt;0,$H19&gt;0,OR(AUTOEVENTO&lt;&gt;"manual",$M19&lt;&gt;$A$15)),
        IF(Import.TipoArredondamento&lt;&gt;"TransfereGOV",
              ROUND(OFFSET($P19,0,AG$13),15-13*ORÇAMENTO!$AF$7)/$H19*OFFSET(ORÇAMENTO!$X$15,ROW(AG19)-ROW(AG$15),0),
              ROUND(ROUND(OFFSET($P19,0,AG$13),15-13*ORÇAMENTO!$AF$7)*OFFSET(ORÇAMENTO!$W$15,ROW(AG19)-ROW(AG$15),0),15-13*ORÇAMENTO!$AF$11)),
         0)</f>
        <v>0</v>
      </c>
      <c r="AH19" s="354" t="n">
        <f aca="true">IF(AND($D19="Serviço",AH$12&lt;&gt;0,$H19&gt;0,OR(AUTOEVENTO&lt;&gt;"manual",$M19&lt;&gt;$A$15)),
        IF(Import.TipoArredondamento&lt;&gt;"TransfereGOV",
              ROUND(OFFSET($P19,0,AH$13),15-13*ORÇAMENTO!$AF$7)/$H19*OFFSET(ORÇAMENTO!$X$15,ROW(AH19)-ROW(AH$15),0),
              ROUND(ROUND(OFFSET($P19,0,AH$13),15-13*ORÇAMENTO!$AF$7)*OFFSET(ORÇAMENTO!$W$15,ROW(AH19)-ROW(AH$15),0),15-13*ORÇAMENTO!$AF$11)),
         0)</f>
        <v>0</v>
      </c>
      <c r="AI19" s="354" t="n">
        <f aca="true">IF(AND($D19="Serviço",AI$12&lt;&gt;0,$H19&gt;0,OR(AUTOEVENTO&lt;&gt;"manual",$M19&lt;&gt;$A$15)),
        IF(Import.TipoArredondamento&lt;&gt;"TransfereGOV",
              ROUND(OFFSET($P19,0,AI$13),15-13*ORÇAMENTO!$AF$7)/$H19*OFFSET(ORÇAMENTO!$X$15,ROW(AI19)-ROW(AI$15),0),
              ROUND(ROUND(OFFSET($P19,0,AI$13),15-13*ORÇAMENTO!$AF$7)*OFFSET(ORÇAMENTO!$W$15,ROW(AI19)-ROW(AI$15),0),15-13*ORÇAMENTO!$AF$11)),
         0)</f>
        <v>0</v>
      </c>
      <c r="AJ19" s="354" t="n">
        <f aca="true">IF(AND($D19="Serviço",AJ$12&lt;&gt;0,$H19&gt;0,OR(AUTOEVENTO&lt;&gt;"manual",$M19&lt;&gt;$A$15)),
        IF(Import.TipoArredondamento&lt;&gt;"TransfereGOV",
              ROUND(OFFSET($P19,0,AJ$13),15-13*ORÇAMENTO!$AF$7)/$H19*OFFSET(ORÇAMENTO!$X$15,ROW(AJ19)-ROW(AJ$15),0),
              ROUND(ROUND(OFFSET($P19,0,AJ$13),15-13*ORÇAMENTO!$AF$7)*OFFSET(ORÇAMENTO!$W$15,ROW(AJ19)-ROW(AJ$15),0),15-13*ORÇAMENTO!$AF$11)),
         0)</f>
        <v>0</v>
      </c>
      <c r="AK19" s="354" t="n">
        <f aca="true">IF(AND($D19="Serviço",AK$12&lt;&gt;0,$H19&gt;0,OR(AUTOEVENTO&lt;&gt;"manual",$M19&lt;&gt;$A$15)),
        IF(Import.TipoArredondamento&lt;&gt;"TransfereGOV",
              ROUND(OFFSET($P19,0,AK$13),15-13*ORÇAMENTO!$AF$7)/$H19*OFFSET(ORÇAMENTO!$X$15,ROW(AK19)-ROW(AK$15),0),
              ROUND(ROUND(OFFSET($P19,0,AK$13),15-13*ORÇAMENTO!$AF$7)*OFFSET(ORÇAMENTO!$W$15,ROW(AK19)-ROW(AK$15),0),15-13*ORÇAMENTO!$AF$11)),
         0)</f>
        <v>0</v>
      </c>
      <c r="AM19" s="355" t="n">
        <f aca="true">IF(OR($D19&lt;&gt;"Serviço",AND(AUTOEVENTO="Manual",$M19=$A$15)),0,
         IF(OFFSET(CRONOPLE!$F$15,$M19-$A$15,AM$13)=0,10^12,OFFSET(CRONOPLE!$F$15,$M19-$A$15,AM$13)))</f>
        <v>0</v>
      </c>
      <c r="AN19" s="355" t="n">
        <f aca="true">IF(OR($D19&lt;&gt;"Serviço",AND(AUTOEVENTO="Manual",$M19=$A$15)),0,
         IF(OFFSET(CRONOPLE!$F$15,$M19-$A$15,AN$13)=0,10^12,OFFSET(CRONOPLE!$F$15,$M19-$A$15,AN$13)))</f>
        <v>0</v>
      </c>
      <c r="AO19" s="355" t="n">
        <f aca="true">IF(OR($D19&lt;&gt;"Serviço",AND(AUTOEVENTO="Manual",$M19=$A$15)),0,
         IF(OFFSET(CRONOPLE!$F$15,$M19-$A$15,AO$13)=0,10^12,OFFSET(CRONOPLE!$F$15,$M19-$A$15,AO$13)))</f>
        <v>0</v>
      </c>
      <c r="AP19" s="355" t="n">
        <f aca="true">IF(OR($D19&lt;&gt;"Serviço",AND(AUTOEVENTO="Manual",$M19=$A$15)),0,
         IF(OFFSET(CRONOPLE!$F$15,$M19-$A$15,AP$13)=0,10^12,OFFSET(CRONOPLE!$F$15,$M19-$A$15,AP$13)))</f>
        <v>0</v>
      </c>
      <c r="AQ19" s="355" t="n">
        <f aca="true">IF(OR($D19&lt;&gt;"Serviço",AND(AUTOEVENTO="Manual",$M19=$A$15)),0,
         IF(OFFSET(CRONOPLE!$F$15,$M19-$A$15,AQ$13)=0,10^12,OFFSET(CRONOPLE!$F$15,$M19-$A$15,AQ$13)))</f>
        <v>0</v>
      </c>
      <c r="AR19" s="355" t="n">
        <f aca="true">IF(OR($D19&lt;&gt;"Serviço",AND(AUTOEVENTO="Manual",$M19=$A$15)),0,
         IF(OFFSET(CRONOPLE!$F$15,$M19-$A$15,AR$13)=0,10^12,OFFSET(CRONOPLE!$F$15,$M19-$A$15,AR$13)))</f>
        <v>0</v>
      </c>
      <c r="AS19" s="355" t="n">
        <f aca="true">IF(OR($D19&lt;&gt;"Serviço",AND(AUTOEVENTO="Manual",$M19=$A$15)),0,
         IF(OFFSET(CRONOPLE!$F$15,$M19-$A$15,AS$13)=0,10^12,OFFSET(CRONOPLE!$F$15,$M19-$A$15,AS$13)))</f>
        <v>0</v>
      </c>
      <c r="AT19" s="355" t="n">
        <f aca="true">IF(OR($D19&lt;&gt;"Serviço",AND(AUTOEVENTO="Manual",$M19=$A$15)),0,
         IF(OFFSET(CRONOPLE!$F$15,$M19-$A$15,AT$13)=0,10^12,OFFSET(CRONOPLE!$F$15,$M19-$A$15,AT$13)))</f>
        <v>0</v>
      </c>
      <c r="AU19" s="355" t="n">
        <f aca="true">IF(OR($D19&lt;&gt;"Serviço",AND(AUTOEVENTO="Manual",$M19=$A$15)),0,
         IF(OFFSET(CRONOPLE!$F$15,$M19-$A$15,AU$13)=0,10^12,OFFSET(CRONOPLE!$F$15,$M19-$A$15,AU$13)))</f>
        <v>0</v>
      </c>
      <c r="AV19" s="355" t="n">
        <f aca="true">IF(OR($D19&lt;&gt;"Serviço",AND(AUTOEVENTO="Manual",$M19=$A$15)),0,
         IF(OFFSET(CRONOPLE!$F$15,$M19-$A$15,AV$13)=0,10^12,OFFSET(CRONOPLE!$F$15,$M19-$A$15,AV$13)))</f>
        <v>0</v>
      </c>
      <c r="AX19" s="356" t="n">
        <f aca="true" t="array" ref="AX19:AX19">IF(OR($D19&lt;&gt;"Serviço",AND(AUTOEVENTO="Manual",$M19=$A$15),$M19&gt;(ROW(PLE.lastrow)-ROW(PLE.firstrow))),0,
           IF(OFFSET(PLE!$G$15,$M19-$A$15,AX$13)="",10^12,OFFSET(PLE!$G$15,$M19-$A$15,AX$13)))</f>
        <v>0</v>
      </c>
      <c r="AY19" s="356" t="n">
        <f aca="true" t="array" ref="AY19:AY19">IF(OR($D19&lt;&gt;"Serviço",AND(AUTOEVENTO="Manual",$M19=$A$15),$M19&gt;(ROW(PLE.lastrow)-ROW(PLE.firstrow))),0,
           IF(OFFSET(PLE!$G$15,$M19-$A$15,AY$13)="",10^12,OFFSET(PLE!$G$15,$M19-$A$15,AY$13)))</f>
        <v>0</v>
      </c>
      <c r="AZ19" s="356" t="n">
        <f aca="true" t="array" ref="AZ19:AZ19">IF(OR($D19&lt;&gt;"Serviço",AND(AUTOEVENTO="Manual",$M19=$A$15),$M19&gt;(ROW(PLE.lastrow)-ROW(PLE.firstrow))),0,
           IF(OFFSET(PLE!$G$15,$M19-$A$15,AZ$13)="",10^12,OFFSET(PLE!$G$15,$M19-$A$15,AZ$13)))</f>
        <v>0</v>
      </c>
      <c r="BA19" s="356" t="n">
        <f aca="true" t="array" ref="BA19:BA19">IF(OR($D19&lt;&gt;"Serviço",AND(AUTOEVENTO="Manual",$M19=$A$15),$M19&gt;(ROW(PLE.lastrow)-ROW(PLE.firstrow))),0,
           IF(OFFSET(PLE!$G$15,$M19-$A$15,BA$13)="",10^12,OFFSET(PLE!$G$15,$M19-$A$15,BA$13)))</f>
        <v>0</v>
      </c>
      <c r="BB19" s="356" t="n">
        <f aca="true" t="array" ref="BB19:BB19">IF(OR($D19&lt;&gt;"Serviço",AND(AUTOEVENTO="Manual",$M19=$A$15),$M19&gt;(ROW(PLE.lastrow)-ROW(PLE.firstrow))),0,
           IF(OFFSET(PLE!$G$15,$M19-$A$15,BB$13)="",10^12,OFFSET(PLE!$G$15,$M19-$A$15,BB$13)))</f>
        <v>0</v>
      </c>
      <c r="BC19" s="356" t="n">
        <f aca="true" t="array" ref="BC19:BC19">IF(OR($D19&lt;&gt;"Serviço",AND(AUTOEVENTO="Manual",$M19=$A$15),$M19&gt;(ROW(PLE.lastrow)-ROW(PLE.firstrow))),0,
           IF(OFFSET(PLE!$G$15,$M19-$A$15,BC$13)="",10^12,OFFSET(PLE!$G$15,$M19-$A$15,BC$13)))</f>
        <v>0</v>
      </c>
      <c r="BD19" s="356" t="n">
        <f aca="true" t="array" ref="BD19:BD19">IF(OR($D19&lt;&gt;"Serviço",AND(AUTOEVENTO="Manual",$M19=$A$15),$M19&gt;(ROW(PLE.lastrow)-ROW(PLE.firstrow))),0,
           IF(OFFSET(PLE!$G$15,$M19-$A$15,BD$13)="",10^12,OFFSET(PLE!$G$15,$M19-$A$15,BD$13)))</f>
        <v>0</v>
      </c>
      <c r="BE19" s="356" t="n">
        <f aca="true" t="array" ref="BE19:BE19">IF(OR($D19&lt;&gt;"Serviço",AND(AUTOEVENTO="Manual",$M19=$A$15),$M19&gt;(ROW(PLE.lastrow)-ROW(PLE.firstrow))),0,
           IF(OFFSET(PLE!$G$15,$M19-$A$15,BE$13)="",10^12,OFFSET(PLE!$G$15,$M19-$A$15,BE$13)))</f>
        <v>0</v>
      </c>
      <c r="BF19" s="356" t="n">
        <f aca="true" t="array" ref="BF19:BF19">IF(OR($D19&lt;&gt;"Serviço",AND(AUTOEVENTO="Manual",$M19=$A$15),$M19&gt;(ROW(PLE.lastrow)-ROW(PLE.firstrow))),0,
           IF(OFFSET(PLE!$G$15,$M19-$A$15,BF$13)="",10^12,OFFSET(PLE!$G$15,$M19-$A$15,BF$13)))</f>
        <v>0</v>
      </c>
      <c r="BG19" s="356" t="n">
        <f aca="true" t="array" ref="BG19:BG19">IF(OR($D19&lt;&gt;"Serviço",AND(AUTOEVENTO="Manual",$M19=$A$15),$M19&gt;(ROW(PLE.lastrow)-ROW(PLE.firstrow))),0,
           IF(OFFSET(PLE!$G$15,$M19-$A$15,BG$13)="",10^12,OFFSET(PLE!$G$15,$M19-$A$15,BG$13)))</f>
        <v>0</v>
      </c>
    </row>
    <row r="20" customFormat="false" ht="12.8" hidden="false" customHeight="false" outlineLevel="0" collapsed="false">
      <c r="A20" s="48" t="str">
        <f aca="true">IFERROR(IF(AUTOEVENTO="Manual",IF(K20&lt;&gt;"",MIN(VALUE(LEFT(K20,FIND(".",K20)-1)),COUNTA(EVENTOS.Lista)),0),IF(OR($B20&gt;AUTOEVENTO,$B20="S",$B20=0),SUBSTITUTE(OFFSET($A20,-1,0),IF($D20="Serviço",".",""),""),$L20&amp;".")),0)</f>
        <v>4</v>
      </c>
      <c r="B20" s="48" t="str">
        <f aca="true">OFFSET(ORÇAMENTO!C$15,$L20,0)</f>
        <v>S</v>
      </c>
      <c r="C20" s="48" t="str">
        <f aca="true">OFFSET(ORÇAMENTO!L$15,$L20,0)</f>
        <v/>
      </c>
      <c r="D20" s="206" t="str">
        <f aca="true">OFFSET(ORÇAMENTO!N$15,$L20,0)</f>
        <v>Serviço</v>
      </c>
      <c r="E20" s="207" t="str">
        <f aca="true">OFFSET(ORÇAMENTO!O$15,$L20,0)</f>
        <v>-</v>
      </c>
      <c r="F20" s="343" t="str">
        <f aca="true">OFFSET(ORÇAMENTO!R$15,$L20,0)</f>
        <v>MOBILIZAÇÃO</v>
      </c>
      <c r="G20" s="344" t="str">
        <f aca="true">IF($D20&lt;&gt;"Serviço","",OFFSET(ORÇAMENTO!S$15,$L20,0))</f>
        <v>-</v>
      </c>
      <c r="H20" s="212" t="n">
        <f aca="true" t="array" ref="H20:H20">IF($D20&lt;&gt;"Serviço",0,IF(ACOMPANHAMENTO="BM",ROUND(OFFSET(ORÇAMENTO!AJ$15,$L20,0),15-13*ORÇAMENTO!$AF$7),IF(IFERROR(CÁLCULO.FrentesPreenchidas,0)=0,0,SUM(ROUND(OFFSET($P20,0,1,1,CÁLCULO.FrentesPreenchidas),15-13*ORÇAMENTO!$AF$7)))))</f>
        <v>1</v>
      </c>
      <c r="I20" s="345" t="s">
        <v>896</v>
      </c>
      <c r="J20" s="346" t="str">
        <f aca="false" t="array" ref="J20:J20">IF(OR(B20&lt;&gt;"S",CÁLCULO.FrentesPreenchidas=0),"",IF(AND(ACOMPANHAMENTO="PLE",AUTOEVENTO="Manual",OR(H20&gt;0,ORÇAMENTO!AC20="QUANT."),OR(K20="",M20=0,N20="")),"►E",IF(AND(ACOMPANHAMENTO="PLE",ORÇAMENTO!AC20="QUANT."),"►Q",IF(AND(ACOMPANHAMENTO="PLE",H20&lt;&gt;SUMPRODUCT(($Q$1:$AA$1=1)*ROUND(Q20:AA20,15))),"►S",IF(AND(COUNTIF($P$11:$AA$11,"▼")=0,H20&gt;0,I20=""),"◄M","")))))</f>
        <v/>
      </c>
      <c r="K20" s="347"/>
      <c r="L20" s="348" t="n">
        <f aca="true">OFFSET(L20,-1,0)+1</f>
        <v>5</v>
      </c>
      <c r="M20" s="349" t="n">
        <f aca="true">IF($D20&lt;&gt;"Serviço","",
          IF(AUTOEVENTO="manual",$A20,
                IF(ISERROR(MATCH($A20,$A$15:OFFSET($A20,-1,0),0)),MAX($M$15:OFFSET(M20,-1,0))+1,
                      INDEX($M$15:OFFSET(M20,-1,0),MATCH($A20,$A$15:OFFSET($A20,-1,0),0)))))</f>
        <v>2</v>
      </c>
      <c r="N20" s="350" t="str">
        <f aca="true">IF($D20&lt;&gt;"Serviço","",
         IF(AUTOEVENTO="Manual",
                IF($A20=0,"&lt;-- defina o número do agrupador",
                       OFFSET(EVENTOS!$D$15,$A20-$A$15,0)),
                OFFSET($F$15,$A20,0)))</f>
        <v>MOBILIZAÇÃO E DESMOBILIZAÇÃO</v>
      </c>
      <c r="O20" s="351"/>
      <c r="Q20" s="351"/>
      <c r="R20" s="352"/>
      <c r="S20" s="352"/>
      <c r="T20" s="352"/>
      <c r="U20" s="352"/>
      <c r="V20" s="352"/>
      <c r="W20" s="352"/>
      <c r="X20" s="352"/>
      <c r="Y20" s="352"/>
      <c r="Z20" s="353"/>
      <c r="AB20" s="354" t="n">
        <f aca="true">IF(AND($D20="Serviço",AB$12&lt;&gt;0,$H20&gt;0,OR(AUTOEVENTO&lt;&gt;"manual",$M20&lt;&gt;$A$15)),
        IF(Import.TipoArredondamento&lt;&gt;"TransfereGOV",
              ROUND(OFFSET($P20,0,AB$13),15-13*ORÇAMENTO!$AF$7)/$H20*OFFSET(ORÇAMENTO!$X$15,ROW(AB20)-ROW(AB$15),0),
              ROUND(ROUND(OFFSET($P20,0,AB$13),15-13*ORÇAMENTO!$AF$7)*OFFSET(ORÇAMENTO!$W$15,ROW(AB20)-ROW(AB$15),0),15-13*ORÇAMENTO!$AF$11)),
         0)</f>
        <v>0</v>
      </c>
      <c r="AC20" s="354" t="n">
        <f aca="true">IF(AND($D20="Serviço",AC$12&lt;&gt;0,$H20&gt;0,OR(AUTOEVENTO&lt;&gt;"manual",$M20&lt;&gt;$A$15)),
        IF(Import.TipoArredondamento&lt;&gt;"TransfereGOV",
              ROUND(OFFSET($P20,0,AC$13),15-13*ORÇAMENTO!$AF$7)/$H20*OFFSET(ORÇAMENTO!$X$15,ROW(AC20)-ROW(AC$15),0),
              ROUND(ROUND(OFFSET($P20,0,AC$13),15-13*ORÇAMENTO!$AF$7)*OFFSET(ORÇAMENTO!$W$15,ROW(AC20)-ROW(AC$15),0),15-13*ORÇAMENTO!$AF$11)),
         0)</f>
        <v>0</v>
      </c>
      <c r="AD20" s="354" t="n">
        <f aca="true">IF(AND($D20="Serviço",AD$12&lt;&gt;0,$H20&gt;0,OR(AUTOEVENTO&lt;&gt;"manual",$M20&lt;&gt;$A$15)),
        IF(Import.TipoArredondamento&lt;&gt;"TransfereGOV",
              ROUND(OFFSET($P20,0,AD$13),15-13*ORÇAMENTO!$AF$7)/$H20*OFFSET(ORÇAMENTO!$X$15,ROW(AD20)-ROW(AD$15),0),
              ROUND(ROUND(OFFSET($P20,0,AD$13),15-13*ORÇAMENTO!$AF$7)*OFFSET(ORÇAMENTO!$W$15,ROW(AD20)-ROW(AD$15),0),15-13*ORÇAMENTO!$AF$11)),
         0)</f>
        <v>0</v>
      </c>
      <c r="AE20" s="354" t="n">
        <f aca="true">IF(AND($D20="Serviço",AE$12&lt;&gt;0,$H20&gt;0,OR(AUTOEVENTO&lt;&gt;"manual",$M20&lt;&gt;$A$15)),
        IF(Import.TipoArredondamento&lt;&gt;"TransfereGOV",
              ROUND(OFFSET($P20,0,AE$13),15-13*ORÇAMENTO!$AF$7)/$H20*OFFSET(ORÇAMENTO!$X$15,ROW(AE20)-ROW(AE$15),0),
              ROUND(ROUND(OFFSET($P20,0,AE$13),15-13*ORÇAMENTO!$AF$7)*OFFSET(ORÇAMENTO!$W$15,ROW(AE20)-ROW(AE$15),0),15-13*ORÇAMENTO!$AF$11)),
         0)</f>
        <v>0</v>
      </c>
      <c r="AF20" s="354" t="n">
        <f aca="true">IF(AND($D20="Serviço",AF$12&lt;&gt;0,$H20&gt;0,OR(AUTOEVENTO&lt;&gt;"manual",$M20&lt;&gt;$A$15)),
        IF(Import.TipoArredondamento&lt;&gt;"TransfereGOV",
              ROUND(OFFSET($P20,0,AF$13),15-13*ORÇAMENTO!$AF$7)/$H20*OFFSET(ORÇAMENTO!$X$15,ROW(AF20)-ROW(AF$15),0),
              ROUND(ROUND(OFFSET($P20,0,AF$13),15-13*ORÇAMENTO!$AF$7)*OFFSET(ORÇAMENTO!$W$15,ROW(AF20)-ROW(AF$15),0),15-13*ORÇAMENTO!$AF$11)),
         0)</f>
        <v>0</v>
      </c>
      <c r="AG20" s="354" t="n">
        <f aca="true">IF(AND($D20="Serviço",AG$12&lt;&gt;0,$H20&gt;0,OR(AUTOEVENTO&lt;&gt;"manual",$M20&lt;&gt;$A$15)),
        IF(Import.TipoArredondamento&lt;&gt;"TransfereGOV",
              ROUND(OFFSET($P20,0,AG$13),15-13*ORÇAMENTO!$AF$7)/$H20*OFFSET(ORÇAMENTO!$X$15,ROW(AG20)-ROW(AG$15),0),
              ROUND(ROUND(OFFSET($P20,0,AG$13),15-13*ORÇAMENTO!$AF$7)*OFFSET(ORÇAMENTO!$W$15,ROW(AG20)-ROW(AG$15),0),15-13*ORÇAMENTO!$AF$11)),
         0)</f>
        <v>0</v>
      </c>
      <c r="AH20" s="354" t="n">
        <f aca="true">IF(AND($D20="Serviço",AH$12&lt;&gt;0,$H20&gt;0,OR(AUTOEVENTO&lt;&gt;"manual",$M20&lt;&gt;$A$15)),
        IF(Import.TipoArredondamento&lt;&gt;"TransfereGOV",
              ROUND(OFFSET($P20,0,AH$13),15-13*ORÇAMENTO!$AF$7)/$H20*OFFSET(ORÇAMENTO!$X$15,ROW(AH20)-ROW(AH$15),0),
              ROUND(ROUND(OFFSET($P20,0,AH$13),15-13*ORÇAMENTO!$AF$7)*OFFSET(ORÇAMENTO!$W$15,ROW(AH20)-ROW(AH$15),0),15-13*ORÇAMENTO!$AF$11)),
         0)</f>
        <v>0</v>
      </c>
      <c r="AI20" s="354" t="n">
        <f aca="true">IF(AND($D20="Serviço",AI$12&lt;&gt;0,$H20&gt;0,OR(AUTOEVENTO&lt;&gt;"manual",$M20&lt;&gt;$A$15)),
        IF(Import.TipoArredondamento&lt;&gt;"TransfereGOV",
              ROUND(OFFSET($P20,0,AI$13),15-13*ORÇAMENTO!$AF$7)/$H20*OFFSET(ORÇAMENTO!$X$15,ROW(AI20)-ROW(AI$15),0),
              ROUND(ROUND(OFFSET($P20,0,AI$13),15-13*ORÇAMENTO!$AF$7)*OFFSET(ORÇAMENTO!$W$15,ROW(AI20)-ROW(AI$15),0),15-13*ORÇAMENTO!$AF$11)),
         0)</f>
        <v>0</v>
      </c>
      <c r="AJ20" s="354" t="n">
        <f aca="true">IF(AND($D20="Serviço",AJ$12&lt;&gt;0,$H20&gt;0,OR(AUTOEVENTO&lt;&gt;"manual",$M20&lt;&gt;$A$15)),
        IF(Import.TipoArredondamento&lt;&gt;"TransfereGOV",
              ROUND(OFFSET($P20,0,AJ$13),15-13*ORÇAMENTO!$AF$7)/$H20*OFFSET(ORÇAMENTO!$X$15,ROW(AJ20)-ROW(AJ$15),0),
              ROUND(ROUND(OFFSET($P20,0,AJ$13),15-13*ORÇAMENTO!$AF$7)*OFFSET(ORÇAMENTO!$W$15,ROW(AJ20)-ROW(AJ$15),0),15-13*ORÇAMENTO!$AF$11)),
         0)</f>
        <v>0</v>
      </c>
      <c r="AK20" s="354" t="n">
        <f aca="true">IF(AND($D20="Serviço",AK$12&lt;&gt;0,$H20&gt;0,OR(AUTOEVENTO&lt;&gt;"manual",$M20&lt;&gt;$A$15)),
        IF(Import.TipoArredondamento&lt;&gt;"TransfereGOV",
              ROUND(OFFSET($P20,0,AK$13),15-13*ORÇAMENTO!$AF$7)/$H20*OFFSET(ORÇAMENTO!$X$15,ROW(AK20)-ROW(AK$15),0),
              ROUND(ROUND(OFFSET($P20,0,AK$13),15-13*ORÇAMENTO!$AF$7)*OFFSET(ORÇAMENTO!$W$15,ROW(AK20)-ROW(AK$15),0),15-13*ORÇAMENTO!$AF$11)),
         0)</f>
        <v>0</v>
      </c>
      <c r="AM20" s="355" t="n">
        <f aca="true">IF(OR($D20&lt;&gt;"Serviço",AND(AUTOEVENTO="Manual",$M20=$A$15)),0,
         IF(OFFSET(CRONOPLE!$F$15,$M20-$A$15,AM$13)=0,10^12,OFFSET(CRONOPLE!$F$15,$M20-$A$15,AM$13)))</f>
        <v>1000000000000</v>
      </c>
      <c r="AN20" s="355" t="n">
        <f aca="true">IF(OR($D20&lt;&gt;"Serviço",AND(AUTOEVENTO="Manual",$M20=$A$15)),0,
         IF(OFFSET(CRONOPLE!$F$15,$M20-$A$15,AN$13)=0,10^12,OFFSET(CRONOPLE!$F$15,$M20-$A$15,AN$13)))</f>
        <v>1000000000000</v>
      </c>
      <c r="AO20" s="355" t="n">
        <f aca="true">IF(OR($D20&lt;&gt;"Serviço",AND(AUTOEVENTO="Manual",$M20=$A$15)),0,
         IF(OFFSET(CRONOPLE!$F$15,$M20-$A$15,AO$13)=0,10^12,OFFSET(CRONOPLE!$F$15,$M20-$A$15,AO$13)))</f>
        <v>1000000000000</v>
      </c>
      <c r="AP20" s="355" t="n">
        <f aca="true">IF(OR($D20&lt;&gt;"Serviço",AND(AUTOEVENTO="Manual",$M20=$A$15)),0,
         IF(OFFSET(CRONOPLE!$F$15,$M20-$A$15,AP$13)=0,10^12,OFFSET(CRONOPLE!$F$15,$M20-$A$15,AP$13)))</f>
        <v>1000000000000</v>
      </c>
      <c r="AQ20" s="355" t="n">
        <f aca="true">IF(OR($D20&lt;&gt;"Serviço",AND(AUTOEVENTO="Manual",$M20=$A$15)),0,
         IF(OFFSET(CRONOPLE!$F$15,$M20-$A$15,AQ$13)=0,10^12,OFFSET(CRONOPLE!$F$15,$M20-$A$15,AQ$13)))</f>
        <v>1000000000000</v>
      </c>
      <c r="AR20" s="355" t="n">
        <f aca="true">IF(OR($D20&lt;&gt;"Serviço",AND(AUTOEVENTO="Manual",$M20=$A$15)),0,
         IF(OFFSET(CRONOPLE!$F$15,$M20-$A$15,AR$13)=0,10^12,OFFSET(CRONOPLE!$F$15,$M20-$A$15,AR$13)))</f>
        <v>1000000000000</v>
      </c>
      <c r="AS20" s="355" t="n">
        <f aca="true">IF(OR($D20&lt;&gt;"Serviço",AND(AUTOEVENTO="Manual",$M20=$A$15)),0,
         IF(OFFSET(CRONOPLE!$F$15,$M20-$A$15,AS$13)=0,10^12,OFFSET(CRONOPLE!$F$15,$M20-$A$15,AS$13)))</f>
        <v>1000000000000</v>
      </c>
      <c r="AT20" s="355" t="n">
        <f aca="true">IF(OR($D20&lt;&gt;"Serviço",AND(AUTOEVENTO="Manual",$M20=$A$15)),0,
         IF(OFFSET(CRONOPLE!$F$15,$M20-$A$15,AT$13)=0,10^12,OFFSET(CRONOPLE!$F$15,$M20-$A$15,AT$13)))</f>
        <v>1000000000000</v>
      </c>
      <c r="AU20" s="355" t="n">
        <f aca="true">IF(OR($D20&lt;&gt;"Serviço",AND(AUTOEVENTO="Manual",$M20=$A$15)),0,
         IF(OFFSET(CRONOPLE!$F$15,$M20-$A$15,AU$13)=0,10^12,OFFSET(CRONOPLE!$F$15,$M20-$A$15,AU$13)))</f>
        <v>1000000000000</v>
      </c>
      <c r="AV20" s="355" t="n">
        <f aca="true">IF(OR($D20&lt;&gt;"Serviço",AND(AUTOEVENTO="Manual",$M20=$A$15)),0,
         IF(OFFSET(CRONOPLE!$F$15,$M20-$A$15,AV$13)=0,10^12,OFFSET(CRONOPLE!$F$15,$M20-$A$15,AV$13)))</f>
        <v>1000000000000</v>
      </c>
      <c r="AX20" s="356" t="n">
        <f aca="true" t="array" ref="AX20:AX20">IF(OR($D20&lt;&gt;"Serviço",AND(AUTOEVENTO="Manual",$M20=$A$15),$M20&gt;(ROW(PLE.lastrow)-ROW(PLE.firstrow))),0,
           IF(OFFSET(PLE!$G$15,$M20-$A$15,AX$13)="",10^12,OFFSET(PLE!$G$15,$M20-$A$15,AX$13)))</f>
        <v>1000000000000</v>
      </c>
      <c r="AY20" s="356" t="n">
        <f aca="true" t="array" ref="AY20:AY20">IF(OR($D20&lt;&gt;"Serviço",AND(AUTOEVENTO="Manual",$M20=$A$15),$M20&gt;(ROW(PLE.lastrow)-ROW(PLE.firstrow))),0,
           IF(OFFSET(PLE!$G$15,$M20-$A$15,AY$13)="",10^12,OFFSET(PLE!$G$15,$M20-$A$15,AY$13)))</f>
        <v>1000000000000</v>
      </c>
      <c r="AZ20" s="356" t="n">
        <f aca="true" t="array" ref="AZ20:AZ20">IF(OR($D20&lt;&gt;"Serviço",AND(AUTOEVENTO="Manual",$M20=$A$15),$M20&gt;(ROW(PLE.lastrow)-ROW(PLE.firstrow))),0,
           IF(OFFSET(PLE!$G$15,$M20-$A$15,AZ$13)="",10^12,OFFSET(PLE!$G$15,$M20-$A$15,AZ$13)))</f>
        <v>1000000000000</v>
      </c>
      <c r="BA20" s="356" t="n">
        <f aca="true" t="array" ref="BA20:BA20">IF(OR($D20&lt;&gt;"Serviço",AND(AUTOEVENTO="Manual",$M20=$A$15),$M20&gt;(ROW(PLE.lastrow)-ROW(PLE.firstrow))),0,
           IF(OFFSET(PLE!$G$15,$M20-$A$15,BA$13)="",10^12,OFFSET(PLE!$G$15,$M20-$A$15,BA$13)))</f>
        <v>1000000000000</v>
      </c>
      <c r="BB20" s="356" t="n">
        <f aca="true" t="array" ref="BB20:BB20">IF(OR($D20&lt;&gt;"Serviço",AND(AUTOEVENTO="Manual",$M20=$A$15),$M20&gt;(ROW(PLE.lastrow)-ROW(PLE.firstrow))),0,
           IF(OFFSET(PLE!$G$15,$M20-$A$15,BB$13)="",10^12,OFFSET(PLE!$G$15,$M20-$A$15,BB$13)))</f>
        <v>1000000000000</v>
      </c>
      <c r="BC20" s="356" t="n">
        <f aca="true" t="array" ref="BC20:BC20">IF(OR($D20&lt;&gt;"Serviço",AND(AUTOEVENTO="Manual",$M20=$A$15),$M20&gt;(ROW(PLE.lastrow)-ROW(PLE.firstrow))),0,
           IF(OFFSET(PLE!$G$15,$M20-$A$15,BC$13)="",10^12,OFFSET(PLE!$G$15,$M20-$A$15,BC$13)))</f>
        <v>1000000000000</v>
      </c>
      <c r="BD20" s="356" t="n">
        <f aca="true" t="array" ref="BD20:BD20">IF(OR($D20&lt;&gt;"Serviço",AND(AUTOEVENTO="Manual",$M20=$A$15),$M20&gt;(ROW(PLE.lastrow)-ROW(PLE.firstrow))),0,
           IF(OFFSET(PLE!$G$15,$M20-$A$15,BD$13)="",10^12,OFFSET(PLE!$G$15,$M20-$A$15,BD$13)))</f>
        <v>1000000000000</v>
      </c>
      <c r="BE20" s="356" t="n">
        <f aca="true" t="array" ref="BE20:BE20">IF(OR($D20&lt;&gt;"Serviço",AND(AUTOEVENTO="Manual",$M20=$A$15),$M20&gt;(ROW(PLE.lastrow)-ROW(PLE.firstrow))),0,
           IF(OFFSET(PLE!$G$15,$M20-$A$15,BE$13)="",10^12,OFFSET(PLE!$G$15,$M20-$A$15,BE$13)))</f>
        <v>1000000000000</v>
      </c>
      <c r="BF20" s="356" t="n">
        <f aca="true" t="array" ref="BF20:BF20">IF(OR($D20&lt;&gt;"Serviço",AND(AUTOEVENTO="Manual",$M20=$A$15),$M20&gt;(ROW(PLE.lastrow)-ROW(PLE.firstrow))),0,
           IF(OFFSET(PLE!$G$15,$M20-$A$15,BF$13)="",10^12,OFFSET(PLE!$G$15,$M20-$A$15,BF$13)))</f>
        <v>1000000000000</v>
      </c>
      <c r="BG20" s="356" t="n">
        <f aca="true" t="array" ref="BG20:BG20">IF(OR($D20&lt;&gt;"Serviço",AND(AUTOEVENTO="Manual",$M20=$A$15),$M20&gt;(ROW(PLE.lastrow)-ROW(PLE.firstrow))),0,
           IF(OFFSET(PLE!$G$15,$M20-$A$15,BG$13)="",10^12,OFFSET(PLE!$G$15,$M20-$A$15,BG$13)))</f>
        <v>1000000000000</v>
      </c>
    </row>
    <row r="21" customFormat="false" ht="12.8" hidden="false" customHeight="false" outlineLevel="0" collapsed="false">
      <c r="A21" s="48" t="str">
        <f aca="true">IFERROR(IF(AUTOEVENTO="Manual",IF(K21&lt;&gt;"",MIN(VALUE(LEFT(K21,FIND(".",K21)-1)),COUNTA(EVENTOS.Lista)),0),IF(OR($B21&gt;AUTOEVENTO,$B21="S",$B21=0),SUBSTITUTE(OFFSET($A21,-1,0),IF($D21="Serviço",".",""),""),$L21&amp;".")),0)</f>
        <v>4</v>
      </c>
      <c r="B21" s="48" t="str">
        <f aca="true">OFFSET(ORÇAMENTO!C$15,$L21,0)</f>
        <v>S</v>
      </c>
      <c r="C21" s="48" t="str">
        <f aca="true">OFFSET(ORÇAMENTO!L$15,$L21,0)</f>
        <v/>
      </c>
      <c r="D21" s="206" t="str">
        <f aca="true">OFFSET(ORÇAMENTO!N$15,$L21,0)</f>
        <v>Serviço</v>
      </c>
      <c r="E21" s="207" t="str">
        <f aca="true">OFFSET(ORÇAMENTO!O$15,$L21,0)</f>
        <v>-</v>
      </c>
      <c r="F21" s="343" t="str">
        <f aca="true">OFFSET(ORÇAMENTO!R$15,$L21,0)</f>
        <v>DESMOBILIZAÇÃO</v>
      </c>
      <c r="G21" s="344" t="str">
        <f aca="true">IF($D21&lt;&gt;"Serviço","",OFFSET(ORÇAMENTO!S$15,$L21,0))</f>
        <v>-</v>
      </c>
      <c r="H21" s="212" t="n">
        <f aca="true" t="array" ref="H21:H21">IF($D21&lt;&gt;"Serviço",0,IF(ACOMPANHAMENTO="BM",ROUND(OFFSET(ORÇAMENTO!AJ$15,$L21,0),15-13*ORÇAMENTO!$AF$7),IF(IFERROR(CÁLCULO.FrentesPreenchidas,0)=0,0,SUM(ROUND(OFFSET($P21,0,1,1,CÁLCULO.FrentesPreenchidas),15-13*ORÇAMENTO!$AF$7)))))</f>
        <v>1</v>
      </c>
      <c r="I21" s="345" t="s">
        <v>896</v>
      </c>
      <c r="J21" s="346" t="str">
        <f aca="false" t="array" ref="J21:J21">IF(OR(B21&lt;&gt;"S",CÁLCULO.FrentesPreenchidas=0),"",IF(AND(ACOMPANHAMENTO="PLE",AUTOEVENTO="Manual",OR(H21&gt;0,ORÇAMENTO!AC21="QUANT."),OR(K21="",M21=0,N21="")),"►E",IF(AND(ACOMPANHAMENTO="PLE",ORÇAMENTO!AC21="QUANT."),"►Q",IF(AND(ACOMPANHAMENTO="PLE",H21&lt;&gt;SUMPRODUCT(($Q$1:$AA$1=1)*ROUND(Q21:AA21,15))),"►S",IF(AND(COUNTIF($P$11:$AA$11,"▼")=0,H21&gt;0,I21=""),"◄M","")))))</f>
        <v/>
      </c>
      <c r="K21" s="347"/>
      <c r="L21" s="348" t="n">
        <f aca="true">OFFSET(L21,-1,0)+1</f>
        <v>6</v>
      </c>
      <c r="M21" s="349" t="n">
        <f aca="true">IF($D21&lt;&gt;"Serviço","",
          IF(AUTOEVENTO="manual",$A21,
                IF(ISERROR(MATCH($A21,$A$15:OFFSET($A21,-1,0),0)),MAX($M$15:OFFSET(M21,-1,0))+1,
                      INDEX($M$15:OFFSET(M21,-1,0),MATCH($A21,$A$15:OFFSET($A21,-1,0),0)))))</f>
        <v>2</v>
      </c>
      <c r="N21" s="350" t="str">
        <f aca="true">IF($D21&lt;&gt;"Serviço","",
         IF(AUTOEVENTO="Manual",
                IF($A21=0,"&lt;-- defina o número do agrupador",
                       OFFSET(EVENTOS!$D$15,$A21-$A$15,0)),
                OFFSET($F$15,$A21,0)))</f>
        <v>MOBILIZAÇÃO E DESMOBILIZAÇÃO</v>
      </c>
      <c r="O21" s="351"/>
      <c r="Q21" s="351"/>
      <c r="R21" s="352"/>
      <c r="S21" s="352"/>
      <c r="T21" s="352"/>
      <c r="U21" s="352"/>
      <c r="V21" s="352"/>
      <c r="W21" s="352"/>
      <c r="X21" s="352"/>
      <c r="Y21" s="352"/>
      <c r="Z21" s="353"/>
      <c r="AB21" s="354" t="n">
        <f aca="true">IF(AND($D21="Serviço",AB$12&lt;&gt;0,$H21&gt;0,OR(AUTOEVENTO&lt;&gt;"manual",$M21&lt;&gt;$A$15)),
        IF(Import.TipoArredondamento&lt;&gt;"TransfereGOV",
              ROUND(OFFSET($P21,0,AB$13),15-13*ORÇAMENTO!$AF$7)/$H21*OFFSET(ORÇAMENTO!$X$15,ROW(AB21)-ROW(AB$15),0),
              ROUND(ROUND(OFFSET($P21,0,AB$13),15-13*ORÇAMENTO!$AF$7)*OFFSET(ORÇAMENTO!$W$15,ROW(AB21)-ROW(AB$15),0),15-13*ORÇAMENTO!$AF$11)),
         0)</f>
        <v>0</v>
      </c>
      <c r="AC21" s="354" t="n">
        <f aca="true">IF(AND($D21="Serviço",AC$12&lt;&gt;0,$H21&gt;0,OR(AUTOEVENTO&lt;&gt;"manual",$M21&lt;&gt;$A$15)),
        IF(Import.TipoArredondamento&lt;&gt;"TransfereGOV",
              ROUND(OFFSET($P21,0,AC$13),15-13*ORÇAMENTO!$AF$7)/$H21*OFFSET(ORÇAMENTO!$X$15,ROW(AC21)-ROW(AC$15),0),
              ROUND(ROUND(OFFSET($P21,0,AC$13),15-13*ORÇAMENTO!$AF$7)*OFFSET(ORÇAMENTO!$W$15,ROW(AC21)-ROW(AC$15),0),15-13*ORÇAMENTO!$AF$11)),
         0)</f>
        <v>0</v>
      </c>
      <c r="AD21" s="354" t="n">
        <f aca="true">IF(AND($D21="Serviço",AD$12&lt;&gt;0,$H21&gt;0,OR(AUTOEVENTO&lt;&gt;"manual",$M21&lt;&gt;$A$15)),
        IF(Import.TipoArredondamento&lt;&gt;"TransfereGOV",
              ROUND(OFFSET($P21,0,AD$13),15-13*ORÇAMENTO!$AF$7)/$H21*OFFSET(ORÇAMENTO!$X$15,ROW(AD21)-ROW(AD$15),0),
              ROUND(ROUND(OFFSET($P21,0,AD$13),15-13*ORÇAMENTO!$AF$7)*OFFSET(ORÇAMENTO!$W$15,ROW(AD21)-ROW(AD$15),0),15-13*ORÇAMENTO!$AF$11)),
         0)</f>
        <v>0</v>
      </c>
      <c r="AE21" s="354" t="n">
        <f aca="true">IF(AND($D21="Serviço",AE$12&lt;&gt;0,$H21&gt;0,OR(AUTOEVENTO&lt;&gt;"manual",$M21&lt;&gt;$A$15)),
        IF(Import.TipoArredondamento&lt;&gt;"TransfereGOV",
              ROUND(OFFSET($P21,0,AE$13),15-13*ORÇAMENTO!$AF$7)/$H21*OFFSET(ORÇAMENTO!$X$15,ROW(AE21)-ROW(AE$15),0),
              ROUND(ROUND(OFFSET($P21,0,AE$13),15-13*ORÇAMENTO!$AF$7)*OFFSET(ORÇAMENTO!$W$15,ROW(AE21)-ROW(AE$15),0),15-13*ORÇAMENTO!$AF$11)),
         0)</f>
        <v>0</v>
      </c>
      <c r="AF21" s="354" t="n">
        <f aca="true">IF(AND($D21="Serviço",AF$12&lt;&gt;0,$H21&gt;0,OR(AUTOEVENTO&lt;&gt;"manual",$M21&lt;&gt;$A$15)),
        IF(Import.TipoArredondamento&lt;&gt;"TransfereGOV",
              ROUND(OFFSET($P21,0,AF$13),15-13*ORÇAMENTO!$AF$7)/$H21*OFFSET(ORÇAMENTO!$X$15,ROW(AF21)-ROW(AF$15),0),
              ROUND(ROUND(OFFSET($P21,0,AF$13),15-13*ORÇAMENTO!$AF$7)*OFFSET(ORÇAMENTO!$W$15,ROW(AF21)-ROW(AF$15),0),15-13*ORÇAMENTO!$AF$11)),
         0)</f>
        <v>0</v>
      </c>
      <c r="AG21" s="354" t="n">
        <f aca="true">IF(AND($D21="Serviço",AG$12&lt;&gt;0,$H21&gt;0,OR(AUTOEVENTO&lt;&gt;"manual",$M21&lt;&gt;$A$15)),
        IF(Import.TipoArredondamento&lt;&gt;"TransfereGOV",
              ROUND(OFFSET($P21,0,AG$13),15-13*ORÇAMENTO!$AF$7)/$H21*OFFSET(ORÇAMENTO!$X$15,ROW(AG21)-ROW(AG$15),0),
              ROUND(ROUND(OFFSET($P21,0,AG$13),15-13*ORÇAMENTO!$AF$7)*OFFSET(ORÇAMENTO!$W$15,ROW(AG21)-ROW(AG$15),0),15-13*ORÇAMENTO!$AF$11)),
         0)</f>
        <v>0</v>
      </c>
      <c r="AH21" s="354" t="n">
        <f aca="true">IF(AND($D21="Serviço",AH$12&lt;&gt;0,$H21&gt;0,OR(AUTOEVENTO&lt;&gt;"manual",$M21&lt;&gt;$A$15)),
        IF(Import.TipoArredondamento&lt;&gt;"TransfereGOV",
              ROUND(OFFSET($P21,0,AH$13),15-13*ORÇAMENTO!$AF$7)/$H21*OFFSET(ORÇAMENTO!$X$15,ROW(AH21)-ROW(AH$15),0),
              ROUND(ROUND(OFFSET($P21,0,AH$13),15-13*ORÇAMENTO!$AF$7)*OFFSET(ORÇAMENTO!$W$15,ROW(AH21)-ROW(AH$15),0),15-13*ORÇAMENTO!$AF$11)),
         0)</f>
        <v>0</v>
      </c>
      <c r="AI21" s="354" t="n">
        <f aca="true">IF(AND($D21="Serviço",AI$12&lt;&gt;0,$H21&gt;0,OR(AUTOEVENTO&lt;&gt;"manual",$M21&lt;&gt;$A$15)),
        IF(Import.TipoArredondamento&lt;&gt;"TransfereGOV",
              ROUND(OFFSET($P21,0,AI$13),15-13*ORÇAMENTO!$AF$7)/$H21*OFFSET(ORÇAMENTO!$X$15,ROW(AI21)-ROW(AI$15),0),
              ROUND(ROUND(OFFSET($P21,0,AI$13),15-13*ORÇAMENTO!$AF$7)*OFFSET(ORÇAMENTO!$W$15,ROW(AI21)-ROW(AI$15),0),15-13*ORÇAMENTO!$AF$11)),
         0)</f>
        <v>0</v>
      </c>
      <c r="AJ21" s="354" t="n">
        <f aca="true">IF(AND($D21="Serviço",AJ$12&lt;&gt;0,$H21&gt;0,OR(AUTOEVENTO&lt;&gt;"manual",$M21&lt;&gt;$A$15)),
        IF(Import.TipoArredondamento&lt;&gt;"TransfereGOV",
              ROUND(OFFSET($P21,0,AJ$13),15-13*ORÇAMENTO!$AF$7)/$H21*OFFSET(ORÇAMENTO!$X$15,ROW(AJ21)-ROW(AJ$15),0),
              ROUND(ROUND(OFFSET($P21,0,AJ$13),15-13*ORÇAMENTO!$AF$7)*OFFSET(ORÇAMENTO!$W$15,ROW(AJ21)-ROW(AJ$15),0),15-13*ORÇAMENTO!$AF$11)),
         0)</f>
        <v>0</v>
      </c>
      <c r="AK21" s="354" t="n">
        <f aca="true">IF(AND($D21="Serviço",AK$12&lt;&gt;0,$H21&gt;0,OR(AUTOEVENTO&lt;&gt;"manual",$M21&lt;&gt;$A$15)),
        IF(Import.TipoArredondamento&lt;&gt;"TransfereGOV",
              ROUND(OFFSET($P21,0,AK$13),15-13*ORÇAMENTO!$AF$7)/$H21*OFFSET(ORÇAMENTO!$X$15,ROW(AK21)-ROW(AK$15),0),
              ROUND(ROUND(OFFSET($P21,0,AK$13),15-13*ORÇAMENTO!$AF$7)*OFFSET(ORÇAMENTO!$W$15,ROW(AK21)-ROW(AK$15),0),15-13*ORÇAMENTO!$AF$11)),
         0)</f>
        <v>0</v>
      </c>
      <c r="AM21" s="355" t="n">
        <f aca="true">IF(OR($D21&lt;&gt;"Serviço",AND(AUTOEVENTO="Manual",$M21=$A$15)),0,
         IF(OFFSET(CRONOPLE!$F$15,$M21-$A$15,AM$13)=0,10^12,OFFSET(CRONOPLE!$F$15,$M21-$A$15,AM$13)))</f>
        <v>1000000000000</v>
      </c>
      <c r="AN21" s="355" t="n">
        <f aca="true">IF(OR($D21&lt;&gt;"Serviço",AND(AUTOEVENTO="Manual",$M21=$A$15)),0,
         IF(OFFSET(CRONOPLE!$F$15,$M21-$A$15,AN$13)=0,10^12,OFFSET(CRONOPLE!$F$15,$M21-$A$15,AN$13)))</f>
        <v>1000000000000</v>
      </c>
      <c r="AO21" s="355" t="n">
        <f aca="true">IF(OR($D21&lt;&gt;"Serviço",AND(AUTOEVENTO="Manual",$M21=$A$15)),0,
         IF(OFFSET(CRONOPLE!$F$15,$M21-$A$15,AO$13)=0,10^12,OFFSET(CRONOPLE!$F$15,$M21-$A$15,AO$13)))</f>
        <v>1000000000000</v>
      </c>
      <c r="AP21" s="355" t="n">
        <f aca="true">IF(OR($D21&lt;&gt;"Serviço",AND(AUTOEVENTO="Manual",$M21=$A$15)),0,
         IF(OFFSET(CRONOPLE!$F$15,$M21-$A$15,AP$13)=0,10^12,OFFSET(CRONOPLE!$F$15,$M21-$A$15,AP$13)))</f>
        <v>1000000000000</v>
      </c>
      <c r="AQ21" s="355" t="n">
        <f aca="true">IF(OR($D21&lt;&gt;"Serviço",AND(AUTOEVENTO="Manual",$M21=$A$15)),0,
         IF(OFFSET(CRONOPLE!$F$15,$M21-$A$15,AQ$13)=0,10^12,OFFSET(CRONOPLE!$F$15,$M21-$A$15,AQ$13)))</f>
        <v>1000000000000</v>
      </c>
      <c r="AR21" s="355" t="n">
        <f aca="true">IF(OR($D21&lt;&gt;"Serviço",AND(AUTOEVENTO="Manual",$M21=$A$15)),0,
         IF(OFFSET(CRONOPLE!$F$15,$M21-$A$15,AR$13)=0,10^12,OFFSET(CRONOPLE!$F$15,$M21-$A$15,AR$13)))</f>
        <v>1000000000000</v>
      </c>
      <c r="AS21" s="355" t="n">
        <f aca="true">IF(OR($D21&lt;&gt;"Serviço",AND(AUTOEVENTO="Manual",$M21=$A$15)),0,
         IF(OFFSET(CRONOPLE!$F$15,$M21-$A$15,AS$13)=0,10^12,OFFSET(CRONOPLE!$F$15,$M21-$A$15,AS$13)))</f>
        <v>1000000000000</v>
      </c>
      <c r="AT21" s="355" t="n">
        <f aca="true">IF(OR($D21&lt;&gt;"Serviço",AND(AUTOEVENTO="Manual",$M21=$A$15)),0,
         IF(OFFSET(CRONOPLE!$F$15,$M21-$A$15,AT$13)=0,10^12,OFFSET(CRONOPLE!$F$15,$M21-$A$15,AT$13)))</f>
        <v>1000000000000</v>
      </c>
      <c r="AU21" s="355" t="n">
        <f aca="true">IF(OR($D21&lt;&gt;"Serviço",AND(AUTOEVENTO="Manual",$M21=$A$15)),0,
         IF(OFFSET(CRONOPLE!$F$15,$M21-$A$15,AU$13)=0,10^12,OFFSET(CRONOPLE!$F$15,$M21-$A$15,AU$13)))</f>
        <v>1000000000000</v>
      </c>
      <c r="AV21" s="355" t="n">
        <f aca="true">IF(OR($D21&lt;&gt;"Serviço",AND(AUTOEVENTO="Manual",$M21=$A$15)),0,
         IF(OFFSET(CRONOPLE!$F$15,$M21-$A$15,AV$13)=0,10^12,OFFSET(CRONOPLE!$F$15,$M21-$A$15,AV$13)))</f>
        <v>1000000000000</v>
      </c>
      <c r="AX21" s="356" t="n">
        <f aca="true" t="array" ref="AX21:AX21">IF(OR($D21&lt;&gt;"Serviço",AND(AUTOEVENTO="Manual",$M21=$A$15),$M21&gt;(ROW(PLE.lastrow)-ROW(PLE.firstrow))),0,
           IF(OFFSET(PLE!$G$15,$M21-$A$15,AX$13)="",10^12,OFFSET(PLE!$G$15,$M21-$A$15,AX$13)))</f>
        <v>1000000000000</v>
      </c>
      <c r="AY21" s="356" t="n">
        <f aca="true" t="array" ref="AY21:AY21">IF(OR($D21&lt;&gt;"Serviço",AND(AUTOEVENTO="Manual",$M21=$A$15),$M21&gt;(ROW(PLE.lastrow)-ROW(PLE.firstrow))),0,
           IF(OFFSET(PLE!$G$15,$M21-$A$15,AY$13)="",10^12,OFFSET(PLE!$G$15,$M21-$A$15,AY$13)))</f>
        <v>1000000000000</v>
      </c>
      <c r="AZ21" s="356" t="n">
        <f aca="true" t="array" ref="AZ21:AZ21">IF(OR($D21&lt;&gt;"Serviço",AND(AUTOEVENTO="Manual",$M21=$A$15),$M21&gt;(ROW(PLE.lastrow)-ROW(PLE.firstrow))),0,
           IF(OFFSET(PLE!$G$15,$M21-$A$15,AZ$13)="",10^12,OFFSET(PLE!$G$15,$M21-$A$15,AZ$13)))</f>
        <v>1000000000000</v>
      </c>
      <c r="BA21" s="356" t="n">
        <f aca="true" t="array" ref="BA21:BA21">IF(OR($D21&lt;&gt;"Serviço",AND(AUTOEVENTO="Manual",$M21=$A$15),$M21&gt;(ROW(PLE.lastrow)-ROW(PLE.firstrow))),0,
           IF(OFFSET(PLE!$G$15,$M21-$A$15,BA$13)="",10^12,OFFSET(PLE!$G$15,$M21-$A$15,BA$13)))</f>
        <v>1000000000000</v>
      </c>
      <c r="BB21" s="356" t="n">
        <f aca="true" t="array" ref="BB21:BB21">IF(OR($D21&lt;&gt;"Serviço",AND(AUTOEVENTO="Manual",$M21=$A$15),$M21&gt;(ROW(PLE.lastrow)-ROW(PLE.firstrow))),0,
           IF(OFFSET(PLE!$G$15,$M21-$A$15,BB$13)="",10^12,OFFSET(PLE!$G$15,$M21-$A$15,BB$13)))</f>
        <v>1000000000000</v>
      </c>
      <c r="BC21" s="356" t="n">
        <f aca="true" t="array" ref="BC21:BC21">IF(OR($D21&lt;&gt;"Serviço",AND(AUTOEVENTO="Manual",$M21=$A$15),$M21&gt;(ROW(PLE.lastrow)-ROW(PLE.firstrow))),0,
           IF(OFFSET(PLE!$G$15,$M21-$A$15,BC$13)="",10^12,OFFSET(PLE!$G$15,$M21-$A$15,BC$13)))</f>
        <v>1000000000000</v>
      </c>
      <c r="BD21" s="356" t="n">
        <f aca="true" t="array" ref="BD21:BD21">IF(OR($D21&lt;&gt;"Serviço",AND(AUTOEVENTO="Manual",$M21=$A$15),$M21&gt;(ROW(PLE.lastrow)-ROW(PLE.firstrow))),0,
           IF(OFFSET(PLE!$G$15,$M21-$A$15,BD$13)="",10^12,OFFSET(PLE!$G$15,$M21-$A$15,BD$13)))</f>
        <v>1000000000000</v>
      </c>
      <c r="BE21" s="356" t="n">
        <f aca="true" t="array" ref="BE21:BE21">IF(OR($D21&lt;&gt;"Serviço",AND(AUTOEVENTO="Manual",$M21=$A$15),$M21&gt;(ROW(PLE.lastrow)-ROW(PLE.firstrow))),0,
           IF(OFFSET(PLE!$G$15,$M21-$A$15,BE$13)="",10^12,OFFSET(PLE!$G$15,$M21-$A$15,BE$13)))</f>
        <v>1000000000000</v>
      </c>
      <c r="BF21" s="356" t="n">
        <f aca="true" t="array" ref="BF21:BF21">IF(OR($D21&lt;&gt;"Serviço",AND(AUTOEVENTO="Manual",$M21=$A$15),$M21&gt;(ROW(PLE.lastrow)-ROW(PLE.firstrow))),0,
           IF(OFFSET(PLE!$G$15,$M21-$A$15,BF$13)="",10^12,OFFSET(PLE!$G$15,$M21-$A$15,BF$13)))</f>
        <v>1000000000000</v>
      </c>
      <c r="BG21" s="356" t="n">
        <f aca="true" t="array" ref="BG21:BG21">IF(OR($D21&lt;&gt;"Serviço",AND(AUTOEVENTO="Manual",$M21=$A$15),$M21&gt;(ROW(PLE.lastrow)-ROW(PLE.firstrow))),0,
           IF(OFFSET(PLE!$G$15,$M21-$A$15,BG$13)="",10^12,OFFSET(PLE!$G$15,$M21-$A$15,BG$13)))</f>
        <v>1000000000000</v>
      </c>
    </row>
    <row r="22" customFormat="false" ht="12.8" hidden="false" customHeight="false" outlineLevel="0" collapsed="false">
      <c r="A22" s="48" t="str">
        <f aca="true">IFERROR(IF(AUTOEVENTO="Manual",IF(K22&lt;&gt;"",MIN(VALUE(LEFT(K22,FIND(".",K22)-1)),COUNTA(EVENTOS.Lista)),0),IF(OR($B22&gt;AUTOEVENTO,$B22="S",$B22=0),SUBSTITUTE(OFFSET($A22,-1,0),IF($D22="Serviço",".",""),""),$L22&amp;".")),0)</f>
        <v>7.</v>
      </c>
      <c r="B22" s="48" t="n">
        <f aca="true">OFFSET(ORÇAMENTO!C$15,$L22,0)</f>
        <v>2</v>
      </c>
      <c r="C22" s="48" t="str">
        <f aca="true">OFFSET(ORÇAMENTO!L$15,$L22,0)</f>
        <v>F</v>
      </c>
      <c r="D22" s="206" t="str">
        <f aca="true">OFFSET(ORÇAMENTO!N$15,$L22,0)</f>
        <v>Nível 2</v>
      </c>
      <c r="E22" s="207" t="str">
        <f aca="true">OFFSET(ORÇAMENTO!O$15,$L22,0)</f>
        <v>1.3.</v>
      </c>
      <c r="F22" s="343" t="str">
        <f aca="true">OFFSET(ORÇAMENTO!R$15,$L22,0)</f>
        <v>SERVIÇOS PRELIMINARES</v>
      </c>
      <c r="G22" s="344" t="str">
        <f aca="true">IF($D22&lt;&gt;"Serviço","",OFFSET(ORÇAMENTO!S$15,$L22,0))</f>
        <v/>
      </c>
      <c r="H22" s="212" t="n">
        <f aca="true" t="array" ref="H22:H22">IF($D22&lt;&gt;"Serviço",0,IF(ACOMPANHAMENTO="BM",ROUND(OFFSET(ORÇAMENTO!AJ$15,$L22,0),15-13*ORÇAMENTO!$AF$7),IF(IFERROR(CÁLCULO.FrentesPreenchidas,0)=0,0,SUM(ROUND(OFFSET($P22,0,1,1,CÁLCULO.FrentesPreenchidas),15-13*ORÇAMENTO!$AF$7)))))</f>
        <v>0</v>
      </c>
      <c r="I22" s="345"/>
      <c r="J22" s="346" t="str">
        <f aca="false" t="array" ref="J22:J22">IF(OR(B22&lt;&gt;"S",CÁLCULO.FrentesPreenchidas=0),"",IF(AND(ACOMPANHAMENTO="PLE",AUTOEVENTO="Manual",OR(H22&gt;0,ORÇAMENTO!AC22="QUANT."),OR(K22="",M22=0,N22="")),"►E",IF(AND(ACOMPANHAMENTO="PLE",ORÇAMENTO!AC22="QUANT."),"►Q",IF(AND(ACOMPANHAMENTO="PLE",H22&lt;&gt;SUMPRODUCT(($Q$1:$AA$1=1)*ROUND(Q22:AA22,15))),"►S",IF(AND(COUNTIF($P$11:$AA$11,"▼")=0,H22&gt;0,I22=""),"◄M","")))))</f>
        <v/>
      </c>
      <c r="K22" s="347"/>
      <c r="L22" s="348" t="n">
        <f aca="true">OFFSET(L22,-1,0)+1</f>
        <v>7</v>
      </c>
      <c r="M22" s="349" t="str">
        <f aca="true">IF($D22&lt;&gt;"Serviço","",
          IF(AUTOEVENTO="manual",$A22,
                IF(ISERROR(MATCH($A22,$A$15:OFFSET($A22,-1,0),0)),MAX($M$15:OFFSET(M22,-1,0))+1,
                      INDEX($M$15:OFFSET(M22,-1,0),MATCH($A22,$A$15:OFFSET($A22,-1,0),0)))))</f>
        <v/>
      </c>
      <c r="N22" s="350" t="str">
        <f aca="true">IF($D22&lt;&gt;"Serviço","",
         IF(AUTOEVENTO="Manual",
                IF($A22=0,"&lt;-- defina o número do agrupador",
                       OFFSET(EVENTOS!$D$15,$A22-$A$15,0)),
                OFFSET($F$15,$A22,0)))</f>
        <v/>
      </c>
      <c r="O22" s="351"/>
      <c r="Q22" s="351"/>
      <c r="R22" s="352"/>
      <c r="S22" s="352"/>
      <c r="T22" s="352"/>
      <c r="U22" s="352"/>
      <c r="V22" s="352"/>
      <c r="W22" s="352"/>
      <c r="X22" s="352"/>
      <c r="Y22" s="352"/>
      <c r="Z22" s="353"/>
      <c r="AB22" s="354" t="n">
        <f aca="true">IF(AND($D22="Serviço",AB$12&lt;&gt;0,$H22&gt;0,OR(AUTOEVENTO&lt;&gt;"manual",$M22&lt;&gt;$A$15)),
        IF(Import.TipoArredondamento&lt;&gt;"TransfereGOV",
              ROUND(OFFSET($P22,0,AB$13),15-13*ORÇAMENTO!$AF$7)/$H22*OFFSET(ORÇAMENTO!$X$15,ROW(AB22)-ROW(AB$15),0),
              ROUND(ROUND(OFFSET($P22,0,AB$13),15-13*ORÇAMENTO!$AF$7)*OFFSET(ORÇAMENTO!$W$15,ROW(AB22)-ROW(AB$15),0),15-13*ORÇAMENTO!$AF$11)),
         0)</f>
        <v>0</v>
      </c>
      <c r="AC22" s="354" t="n">
        <f aca="true">IF(AND($D22="Serviço",AC$12&lt;&gt;0,$H22&gt;0,OR(AUTOEVENTO&lt;&gt;"manual",$M22&lt;&gt;$A$15)),
        IF(Import.TipoArredondamento&lt;&gt;"TransfereGOV",
              ROUND(OFFSET($P22,0,AC$13),15-13*ORÇAMENTO!$AF$7)/$H22*OFFSET(ORÇAMENTO!$X$15,ROW(AC22)-ROW(AC$15),0),
              ROUND(ROUND(OFFSET($P22,0,AC$13),15-13*ORÇAMENTO!$AF$7)*OFFSET(ORÇAMENTO!$W$15,ROW(AC22)-ROW(AC$15),0),15-13*ORÇAMENTO!$AF$11)),
         0)</f>
        <v>0</v>
      </c>
      <c r="AD22" s="354" t="n">
        <f aca="true">IF(AND($D22="Serviço",AD$12&lt;&gt;0,$H22&gt;0,OR(AUTOEVENTO&lt;&gt;"manual",$M22&lt;&gt;$A$15)),
        IF(Import.TipoArredondamento&lt;&gt;"TransfereGOV",
              ROUND(OFFSET($P22,0,AD$13),15-13*ORÇAMENTO!$AF$7)/$H22*OFFSET(ORÇAMENTO!$X$15,ROW(AD22)-ROW(AD$15),0),
              ROUND(ROUND(OFFSET($P22,0,AD$13),15-13*ORÇAMENTO!$AF$7)*OFFSET(ORÇAMENTO!$W$15,ROW(AD22)-ROW(AD$15),0),15-13*ORÇAMENTO!$AF$11)),
         0)</f>
        <v>0</v>
      </c>
      <c r="AE22" s="354" t="n">
        <f aca="true">IF(AND($D22="Serviço",AE$12&lt;&gt;0,$H22&gt;0,OR(AUTOEVENTO&lt;&gt;"manual",$M22&lt;&gt;$A$15)),
        IF(Import.TipoArredondamento&lt;&gt;"TransfereGOV",
              ROUND(OFFSET($P22,0,AE$13),15-13*ORÇAMENTO!$AF$7)/$H22*OFFSET(ORÇAMENTO!$X$15,ROW(AE22)-ROW(AE$15),0),
              ROUND(ROUND(OFFSET($P22,0,AE$13),15-13*ORÇAMENTO!$AF$7)*OFFSET(ORÇAMENTO!$W$15,ROW(AE22)-ROW(AE$15),0),15-13*ORÇAMENTO!$AF$11)),
         0)</f>
        <v>0</v>
      </c>
      <c r="AF22" s="354" t="n">
        <f aca="true">IF(AND($D22="Serviço",AF$12&lt;&gt;0,$H22&gt;0,OR(AUTOEVENTO&lt;&gt;"manual",$M22&lt;&gt;$A$15)),
        IF(Import.TipoArredondamento&lt;&gt;"TransfereGOV",
              ROUND(OFFSET($P22,0,AF$13),15-13*ORÇAMENTO!$AF$7)/$H22*OFFSET(ORÇAMENTO!$X$15,ROW(AF22)-ROW(AF$15),0),
              ROUND(ROUND(OFFSET($P22,0,AF$13),15-13*ORÇAMENTO!$AF$7)*OFFSET(ORÇAMENTO!$W$15,ROW(AF22)-ROW(AF$15),0),15-13*ORÇAMENTO!$AF$11)),
         0)</f>
        <v>0</v>
      </c>
      <c r="AG22" s="354" t="n">
        <f aca="true">IF(AND($D22="Serviço",AG$12&lt;&gt;0,$H22&gt;0,OR(AUTOEVENTO&lt;&gt;"manual",$M22&lt;&gt;$A$15)),
        IF(Import.TipoArredondamento&lt;&gt;"TransfereGOV",
              ROUND(OFFSET($P22,0,AG$13),15-13*ORÇAMENTO!$AF$7)/$H22*OFFSET(ORÇAMENTO!$X$15,ROW(AG22)-ROW(AG$15),0),
              ROUND(ROUND(OFFSET($P22,0,AG$13),15-13*ORÇAMENTO!$AF$7)*OFFSET(ORÇAMENTO!$W$15,ROW(AG22)-ROW(AG$15),0),15-13*ORÇAMENTO!$AF$11)),
         0)</f>
        <v>0</v>
      </c>
      <c r="AH22" s="354" t="n">
        <f aca="true">IF(AND($D22="Serviço",AH$12&lt;&gt;0,$H22&gt;0,OR(AUTOEVENTO&lt;&gt;"manual",$M22&lt;&gt;$A$15)),
        IF(Import.TipoArredondamento&lt;&gt;"TransfereGOV",
              ROUND(OFFSET($P22,0,AH$13),15-13*ORÇAMENTO!$AF$7)/$H22*OFFSET(ORÇAMENTO!$X$15,ROW(AH22)-ROW(AH$15),0),
              ROUND(ROUND(OFFSET($P22,0,AH$13),15-13*ORÇAMENTO!$AF$7)*OFFSET(ORÇAMENTO!$W$15,ROW(AH22)-ROW(AH$15),0),15-13*ORÇAMENTO!$AF$11)),
         0)</f>
        <v>0</v>
      </c>
      <c r="AI22" s="354" t="n">
        <f aca="true">IF(AND($D22="Serviço",AI$12&lt;&gt;0,$H22&gt;0,OR(AUTOEVENTO&lt;&gt;"manual",$M22&lt;&gt;$A$15)),
        IF(Import.TipoArredondamento&lt;&gt;"TransfereGOV",
              ROUND(OFFSET($P22,0,AI$13),15-13*ORÇAMENTO!$AF$7)/$H22*OFFSET(ORÇAMENTO!$X$15,ROW(AI22)-ROW(AI$15),0),
              ROUND(ROUND(OFFSET($P22,0,AI$13),15-13*ORÇAMENTO!$AF$7)*OFFSET(ORÇAMENTO!$W$15,ROW(AI22)-ROW(AI$15),0),15-13*ORÇAMENTO!$AF$11)),
         0)</f>
        <v>0</v>
      </c>
      <c r="AJ22" s="354" t="n">
        <f aca="true">IF(AND($D22="Serviço",AJ$12&lt;&gt;0,$H22&gt;0,OR(AUTOEVENTO&lt;&gt;"manual",$M22&lt;&gt;$A$15)),
        IF(Import.TipoArredondamento&lt;&gt;"TransfereGOV",
              ROUND(OFFSET($P22,0,AJ$13),15-13*ORÇAMENTO!$AF$7)/$H22*OFFSET(ORÇAMENTO!$X$15,ROW(AJ22)-ROW(AJ$15),0),
              ROUND(ROUND(OFFSET($P22,0,AJ$13),15-13*ORÇAMENTO!$AF$7)*OFFSET(ORÇAMENTO!$W$15,ROW(AJ22)-ROW(AJ$15),0),15-13*ORÇAMENTO!$AF$11)),
         0)</f>
        <v>0</v>
      </c>
      <c r="AK22" s="354" t="n">
        <f aca="true">IF(AND($D22="Serviço",AK$12&lt;&gt;0,$H22&gt;0,OR(AUTOEVENTO&lt;&gt;"manual",$M22&lt;&gt;$A$15)),
        IF(Import.TipoArredondamento&lt;&gt;"TransfereGOV",
              ROUND(OFFSET($P22,0,AK$13),15-13*ORÇAMENTO!$AF$7)/$H22*OFFSET(ORÇAMENTO!$X$15,ROW(AK22)-ROW(AK$15),0),
              ROUND(ROUND(OFFSET($P22,0,AK$13),15-13*ORÇAMENTO!$AF$7)*OFFSET(ORÇAMENTO!$W$15,ROW(AK22)-ROW(AK$15),0),15-13*ORÇAMENTO!$AF$11)),
         0)</f>
        <v>0</v>
      </c>
      <c r="AM22" s="355" t="n">
        <f aca="true">IF(OR($D22&lt;&gt;"Serviço",AND(AUTOEVENTO="Manual",$M22=$A$15)),0,
         IF(OFFSET(CRONOPLE!$F$15,$M22-$A$15,AM$13)=0,10^12,OFFSET(CRONOPLE!$F$15,$M22-$A$15,AM$13)))</f>
        <v>0</v>
      </c>
      <c r="AN22" s="355" t="n">
        <f aca="true">IF(OR($D22&lt;&gt;"Serviço",AND(AUTOEVENTO="Manual",$M22=$A$15)),0,
         IF(OFFSET(CRONOPLE!$F$15,$M22-$A$15,AN$13)=0,10^12,OFFSET(CRONOPLE!$F$15,$M22-$A$15,AN$13)))</f>
        <v>0</v>
      </c>
      <c r="AO22" s="355" t="n">
        <f aca="true">IF(OR($D22&lt;&gt;"Serviço",AND(AUTOEVENTO="Manual",$M22=$A$15)),0,
         IF(OFFSET(CRONOPLE!$F$15,$M22-$A$15,AO$13)=0,10^12,OFFSET(CRONOPLE!$F$15,$M22-$A$15,AO$13)))</f>
        <v>0</v>
      </c>
      <c r="AP22" s="355" t="n">
        <f aca="true">IF(OR($D22&lt;&gt;"Serviço",AND(AUTOEVENTO="Manual",$M22=$A$15)),0,
         IF(OFFSET(CRONOPLE!$F$15,$M22-$A$15,AP$13)=0,10^12,OFFSET(CRONOPLE!$F$15,$M22-$A$15,AP$13)))</f>
        <v>0</v>
      </c>
      <c r="AQ22" s="355" t="n">
        <f aca="true">IF(OR($D22&lt;&gt;"Serviço",AND(AUTOEVENTO="Manual",$M22=$A$15)),0,
         IF(OFFSET(CRONOPLE!$F$15,$M22-$A$15,AQ$13)=0,10^12,OFFSET(CRONOPLE!$F$15,$M22-$A$15,AQ$13)))</f>
        <v>0</v>
      </c>
      <c r="AR22" s="355" t="n">
        <f aca="true">IF(OR($D22&lt;&gt;"Serviço",AND(AUTOEVENTO="Manual",$M22=$A$15)),0,
         IF(OFFSET(CRONOPLE!$F$15,$M22-$A$15,AR$13)=0,10^12,OFFSET(CRONOPLE!$F$15,$M22-$A$15,AR$13)))</f>
        <v>0</v>
      </c>
      <c r="AS22" s="355" t="n">
        <f aca="true">IF(OR($D22&lt;&gt;"Serviço",AND(AUTOEVENTO="Manual",$M22=$A$15)),0,
         IF(OFFSET(CRONOPLE!$F$15,$M22-$A$15,AS$13)=0,10^12,OFFSET(CRONOPLE!$F$15,$M22-$A$15,AS$13)))</f>
        <v>0</v>
      </c>
      <c r="AT22" s="355" t="n">
        <f aca="true">IF(OR($D22&lt;&gt;"Serviço",AND(AUTOEVENTO="Manual",$M22=$A$15)),0,
         IF(OFFSET(CRONOPLE!$F$15,$M22-$A$15,AT$13)=0,10^12,OFFSET(CRONOPLE!$F$15,$M22-$A$15,AT$13)))</f>
        <v>0</v>
      </c>
      <c r="AU22" s="355" t="n">
        <f aca="true">IF(OR($D22&lt;&gt;"Serviço",AND(AUTOEVENTO="Manual",$M22=$A$15)),0,
         IF(OFFSET(CRONOPLE!$F$15,$M22-$A$15,AU$13)=0,10^12,OFFSET(CRONOPLE!$F$15,$M22-$A$15,AU$13)))</f>
        <v>0</v>
      </c>
      <c r="AV22" s="355" t="n">
        <f aca="true">IF(OR($D22&lt;&gt;"Serviço",AND(AUTOEVENTO="Manual",$M22=$A$15)),0,
         IF(OFFSET(CRONOPLE!$F$15,$M22-$A$15,AV$13)=0,10^12,OFFSET(CRONOPLE!$F$15,$M22-$A$15,AV$13)))</f>
        <v>0</v>
      </c>
      <c r="AX22" s="356" t="n">
        <f aca="true" t="array" ref="AX22:AX22">IF(OR($D22&lt;&gt;"Serviço",AND(AUTOEVENTO="Manual",$M22=$A$15),$M22&gt;(ROW(PLE.lastrow)-ROW(PLE.firstrow))),0,
           IF(OFFSET(PLE!$G$15,$M22-$A$15,AX$13)="",10^12,OFFSET(PLE!$G$15,$M22-$A$15,AX$13)))</f>
        <v>0</v>
      </c>
      <c r="AY22" s="356" t="n">
        <f aca="true" t="array" ref="AY22:AY22">IF(OR($D22&lt;&gt;"Serviço",AND(AUTOEVENTO="Manual",$M22=$A$15),$M22&gt;(ROW(PLE.lastrow)-ROW(PLE.firstrow))),0,
           IF(OFFSET(PLE!$G$15,$M22-$A$15,AY$13)="",10^12,OFFSET(PLE!$G$15,$M22-$A$15,AY$13)))</f>
        <v>0</v>
      </c>
      <c r="AZ22" s="356" t="n">
        <f aca="true" t="array" ref="AZ22:AZ22">IF(OR($D22&lt;&gt;"Serviço",AND(AUTOEVENTO="Manual",$M22=$A$15),$M22&gt;(ROW(PLE.lastrow)-ROW(PLE.firstrow))),0,
           IF(OFFSET(PLE!$G$15,$M22-$A$15,AZ$13)="",10^12,OFFSET(PLE!$G$15,$M22-$A$15,AZ$13)))</f>
        <v>0</v>
      </c>
      <c r="BA22" s="356" t="n">
        <f aca="true" t="array" ref="BA22:BA22">IF(OR($D22&lt;&gt;"Serviço",AND(AUTOEVENTO="Manual",$M22=$A$15),$M22&gt;(ROW(PLE.lastrow)-ROW(PLE.firstrow))),0,
           IF(OFFSET(PLE!$G$15,$M22-$A$15,BA$13)="",10^12,OFFSET(PLE!$G$15,$M22-$A$15,BA$13)))</f>
        <v>0</v>
      </c>
      <c r="BB22" s="356" t="n">
        <f aca="true" t="array" ref="BB22:BB22">IF(OR($D22&lt;&gt;"Serviço",AND(AUTOEVENTO="Manual",$M22=$A$15),$M22&gt;(ROW(PLE.lastrow)-ROW(PLE.firstrow))),0,
           IF(OFFSET(PLE!$G$15,$M22-$A$15,BB$13)="",10^12,OFFSET(PLE!$G$15,$M22-$A$15,BB$13)))</f>
        <v>0</v>
      </c>
      <c r="BC22" s="356" t="n">
        <f aca="true" t="array" ref="BC22:BC22">IF(OR($D22&lt;&gt;"Serviço",AND(AUTOEVENTO="Manual",$M22=$A$15),$M22&gt;(ROW(PLE.lastrow)-ROW(PLE.firstrow))),0,
           IF(OFFSET(PLE!$G$15,$M22-$A$15,BC$13)="",10^12,OFFSET(PLE!$G$15,$M22-$A$15,BC$13)))</f>
        <v>0</v>
      </c>
      <c r="BD22" s="356" t="n">
        <f aca="true" t="array" ref="BD22:BD22">IF(OR($D22&lt;&gt;"Serviço",AND(AUTOEVENTO="Manual",$M22=$A$15),$M22&gt;(ROW(PLE.lastrow)-ROW(PLE.firstrow))),0,
           IF(OFFSET(PLE!$G$15,$M22-$A$15,BD$13)="",10^12,OFFSET(PLE!$G$15,$M22-$A$15,BD$13)))</f>
        <v>0</v>
      </c>
      <c r="BE22" s="356" t="n">
        <f aca="true" t="array" ref="BE22:BE22">IF(OR($D22&lt;&gt;"Serviço",AND(AUTOEVENTO="Manual",$M22=$A$15),$M22&gt;(ROW(PLE.lastrow)-ROW(PLE.firstrow))),0,
           IF(OFFSET(PLE!$G$15,$M22-$A$15,BE$13)="",10^12,OFFSET(PLE!$G$15,$M22-$A$15,BE$13)))</f>
        <v>0</v>
      </c>
      <c r="BF22" s="356" t="n">
        <f aca="true" t="array" ref="BF22:BF22">IF(OR($D22&lt;&gt;"Serviço",AND(AUTOEVENTO="Manual",$M22=$A$15),$M22&gt;(ROW(PLE.lastrow)-ROW(PLE.firstrow))),0,
           IF(OFFSET(PLE!$G$15,$M22-$A$15,BF$13)="",10^12,OFFSET(PLE!$G$15,$M22-$A$15,BF$13)))</f>
        <v>0</v>
      </c>
      <c r="BG22" s="356" t="n">
        <f aca="true" t="array" ref="BG22:BG22">IF(OR($D22&lt;&gt;"Serviço",AND(AUTOEVENTO="Manual",$M22=$A$15),$M22&gt;(ROW(PLE.lastrow)-ROW(PLE.firstrow))),0,
           IF(OFFSET(PLE!$G$15,$M22-$A$15,BG$13)="",10^12,OFFSET(PLE!$G$15,$M22-$A$15,BG$13)))</f>
        <v>0</v>
      </c>
    </row>
    <row r="23" customFormat="false" ht="23.85" hidden="false" customHeight="false" outlineLevel="0" collapsed="false">
      <c r="A23" s="48" t="str">
        <f aca="true">IFERROR(IF(AUTOEVENTO="Manual",IF(K23&lt;&gt;"",MIN(VALUE(LEFT(K23,FIND(".",K23)-1)),COUNTA(EVENTOS.Lista)),0),IF(OR($B23&gt;AUTOEVENTO,$B23="S",$B23=0),SUBSTITUTE(OFFSET($A23,-1,0),IF($D23="Serviço",".",""),""),$L23&amp;".")),0)</f>
        <v>7</v>
      </c>
      <c r="B23" s="48" t="str">
        <f aca="true">OFFSET(ORÇAMENTO!C$15,$L23,0)</f>
        <v>S</v>
      </c>
      <c r="C23" s="48" t="str">
        <f aca="true">OFFSET(ORÇAMENTO!L$15,$L23,0)</f>
        <v/>
      </c>
      <c r="D23" s="206" t="str">
        <f aca="true">OFFSET(ORÇAMENTO!N$15,$L23,0)</f>
        <v>Serviço</v>
      </c>
      <c r="E23" s="207" t="str">
        <f aca="true">OFFSET(ORÇAMENTO!O$15,$L23,0)</f>
        <v>-</v>
      </c>
      <c r="F23" s="343" t="str">
        <f aca="true">OFFSET(ORÇAMENTO!R$15,$L23,0)</f>
        <v>(Código não identificado nas referências)</v>
      </c>
      <c r="G23" s="344" t="str">
        <f aca="true">IF($D23&lt;&gt;"Serviço","",OFFSET(ORÇAMENTO!S$15,$L23,0))</f>
        <v>-</v>
      </c>
      <c r="H23" s="212" t="n">
        <f aca="true" t="array" ref="H23:H23">IF($D23&lt;&gt;"Serviço",0,IF(ACOMPANHAMENTO="BM",ROUND(OFFSET(ORÇAMENTO!AJ$15,$L23,0),15-13*ORÇAMENTO!$AF$7),IF(IFERROR(CÁLCULO.FrentesPreenchidas,0)=0,0,SUM(ROUND(OFFSET($P23,0,1,1,CÁLCULO.FrentesPreenchidas),15-13*ORÇAMENTO!$AF$7)))))</f>
        <v>7.28</v>
      </c>
      <c r="I23" s="345" t="s">
        <v>897</v>
      </c>
      <c r="J23" s="346" t="str">
        <f aca="false" t="array" ref="J23:J23">IF(OR(B23&lt;&gt;"S",CÁLCULO.FrentesPreenchidas=0),"",IF(AND(ACOMPANHAMENTO="PLE",AUTOEVENTO="Manual",OR(H23&gt;0,ORÇAMENTO!AC23="QUANT."),OR(K23="",M23=0,N23="")),"►E",IF(AND(ACOMPANHAMENTO="PLE",ORÇAMENTO!AC23="QUANT."),"►Q",IF(AND(ACOMPANHAMENTO="PLE",H23&lt;&gt;SUMPRODUCT(($Q$1:$AA$1=1)*ROUND(Q23:AA23,15))),"►S",IF(AND(COUNTIF($P$11:$AA$11,"▼")=0,H23&gt;0,I23=""),"◄M","")))))</f>
        <v/>
      </c>
      <c r="K23" s="347"/>
      <c r="L23" s="348" t="n">
        <f aca="true">OFFSET(L23,-1,0)+1</f>
        <v>8</v>
      </c>
      <c r="M23" s="349" t="n">
        <f aca="true">IF($D23&lt;&gt;"Serviço","",
          IF(AUTOEVENTO="manual",$A23,
                IF(ISERROR(MATCH($A23,$A$15:OFFSET($A23,-1,0),0)),MAX($M$15:OFFSET(M23,-1,0))+1,
                      INDEX($M$15:OFFSET(M23,-1,0),MATCH($A23,$A$15:OFFSET($A23,-1,0),0)))))</f>
        <v>3</v>
      </c>
      <c r="N23" s="350" t="str">
        <f aca="true">IF($D23&lt;&gt;"Serviço","",
         IF(AUTOEVENTO="Manual",
                IF($A23=0,"&lt;-- defina o número do agrupador",
                       OFFSET(EVENTOS!$D$15,$A23-$A$15,0)),
                OFFSET($F$15,$A23,0)))</f>
        <v>SERVIÇOS PRELIMINARES</v>
      </c>
      <c r="O23" s="351"/>
      <c r="Q23" s="351"/>
      <c r="R23" s="352"/>
      <c r="S23" s="352"/>
      <c r="T23" s="352"/>
      <c r="U23" s="352"/>
      <c r="V23" s="352"/>
      <c r="W23" s="352"/>
      <c r="X23" s="352"/>
      <c r="Y23" s="352"/>
      <c r="Z23" s="353"/>
      <c r="AB23" s="354" t="n">
        <f aca="true">IF(AND($D23="Serviço",AB$12&lt;&gt;0,$H23&gt;0,OR(AUTOEVENTO&lt;&gt;"manual",$M23&lt;&gt;$A$15)),
        IF(Import.TipoArredondamento&lt;&gt;"TransfereGOV",
              ROUND(OFFSET($P23,0,AB$13),15-13*ORÇAMENTO!$AF$7)/$H23*OFFSET(ORÇAMENTO!$X$15,ROW(AB23)-ROW(AB$15),0),
              ROUND(ROUND(OFFSET($P23,0,AB$13),15-13*ORÇAMENTO!$AF$7)*OFFSET(ORÇAMENTO!$W$15,ROW(AB23)-ROW(AB$15),0),15-13*ORÇAMENTO!$AF$11)),
         0)</f>
        <v>0</v>
      </c>
      <c r="AC23" s="354" t="n">
        <f aca="true">IF(AND($D23="Serviço",AC$12&lt;&gt;0,$H23&gt;0,OR(AUTOEVENTO&lt;&gt;"manual",$M23&lt;&gt;$A$15)),
        IF(Import.TipoArredondamento&lt;&gt;"TransfereGOV",
              ROUND(OFFSET($P23,0,AC$13),15-13*ORÇAMENTO!$AF$7)/$H23*OFFSET(ORÇAMENTO!$X$15,ROW(AC23)-ROW(AC$15),0),
              ROUND(ROUND(OFFSET($P23,0,AC$13),15-13*ORÇAMENTO!$AF$7)*OFFSET(ORÇAMENTO!$W$15,ROW(AC23)-ROW(AC$15),0),15-13*ORÇAMENTO!$AF$11)),
         0)</f>
        <v>0</v>
      </c>
      <c r="AD23" s="354" t="n">
        <f aca="true">IF(AND($D23="Serviço",AD$12&lt;&gt;0,$H23&gt;0,OR(AUTOEVENTO&lt;&gt;"manual",$M23&lt;&gt;$A$15)),
        IF(Import.TipoArredondamento&lt;&gt;"TransfereGOV",
              ROUND(OFFSET($P23,0,AD$13),15-13*ORÇAMENTO!$AF$7)/$H23*OFFSET(ORÇAMENTO!$X$15,ROW(AD23)-ROW(AD$15),0),
              ROUND(ROUND(OFFSET($P23,0,AD$13),15-13*ORÇAMENTO!$AF$7)*OFFSET(ORÇAMENTO!$W$15,ROW(AD23)-ROW(AD$15),0),15-13*ORÇAMENTO!$AF$11)),
         0)</f>
        <v>0</v>
      </c>
      <c r="AE23" s="354" t="n">
        <f aca="true">IF(AND($D23="Serviço",AE$12&lt;&gt;0,$H23&gt;0,OR(AUTOEVENTO&lt;&gt;"manual",$M23&lt;&gt;$A$15)),
        IF(Import.TipoArredondamento&lt;&gt;"TransfereGOV",
              ROUND(OFFSET($P23,0,AE$13),15-13*ORÇAMENTO!$AF$7)/$H23*OFFSET(ORÇAMENTO!$X$15,ROW(AE23)-ROW(AE$15),0),
              ROUND(ROUND(OFFSET($P23,0,AE$13),15-13*ORÇAMENTO!$AF$7)*OFFSET(ORÇAMENTO!$W$15,ROW(AE23)-ROW(AE$15),0),15-13*ORÇAMENTO!$AF$11)),
         0)</f>
        <v>0</v>
      </c>
      <c r="AF23" s="354" t="n">
        <f aca="true">IF(AND($D23="Serviço",AF$12&lt;&gt;0,$H23&gt;0,OR(AUTOEVENTO&lt;&gt;"manual",$M23&lt;&gt;$A$15)),
        IF(Import.TipoArredondamento&lt;&gt;"TransfereGOV",
              ROUND(OFFSET($P23,0,AF$13),15-13*ORÇAMENTO!$AF$7)/$H23*OFFSET(ORÇAMENTO!$X$15,ROW(AF23)-ROW(AF$15),0),
              ROUND(ROUND(OFFSET($P23,0,AF$13),15-13*ORÇAMENTO!$AF$7)*OFFSET(ORÇAMENTO!$W$15,ROW(AF23)-ROW(AF$15),0),15-13*ORÇAMENTO!$AF$11)),
         0)</f>
        <v>0</v>
      </c>
      <c r="AG23" s="354" t="n">
        <f aca="true">IF(AND($D23="Serviço",AG$12&lt;&gt;0,$H23&gt;0,OR(AUTOEVENTO&lt;&gt;"manual",$M23&lt;&gt;$A$15)),
        IF(Import.TipoArredondamento&lt;&gt;"TransfereGOV",
              ROUND(OFFSET($P23,0,AG$13),15-13*ORÇAMENTO!$AF$7)/$H23*OFFSET(ORÇAMENTO!$X$15,ROW(AG23)-ROW(AG$15),0),
              ROUND(ROUND(OFFSET($P23,0,AG$13),15-13*ORÇAMENTO!$AF$7)*OFFSET(ORÇAMENTO!$W$15,ROW(AG23)-ROW(AG$15),0),15-13*ORÇAMENTO!$AF$11)),
         0)</f>
        <v>0</v>
      </c>
      <c r="AH23" s="354" t="n">
        <f aca="true">IF(AND($D23="Serviço",AH$12&lt;&gt;0,$H23&gt;0,OR(AUTOEVENTO&lt;&gt;"manual",$M23&lt;&gt;$A$15)),
        IF(Import.TipoArredondamento&lt;&gt;"TransfereGOV",
              ROUND(OFFSET($P23,0,AH$13),15-13*ORÇAMENTO!$AF$7)/$H23*OFFSET(ORÇAMENTO!$X$15,ROW(AH23)-ROW(AH$15),0),
              ROUND(ROUND(OFFSET($P23,0,AH$13),15-13*ORÇAMENTO!$AF$7)*OFFSET(ORÇAMENTO!$W$15,ROW(AH23)-ROW(AH$15),0),15-13*ORÇAMENTO!$AF$11)),
         0)</f>
        <v>0</v>
      </c>
      <c r="AI23" s="354" t="n">
        <f aca="true">IF(AND($D23="Serviço",AI$12&lt;&gt;0,$H23&gt;0,OR(AUTOEVENTO&lt;&gt;"manual",$M23&lt;&gt;$A$15)),
        IF(Import.TipoArredondamento&lt;&gt;"TransfereGOV",
              ROUND(OFFSET($P23,0,AI$13),15-13*ORÇAMENTO!$AF$7)/$H23*OFFSET(ORÇAMENTO!$X$15,ROW(AI23)-ROW(AI$15),0),
              ROUND(ROUND(OFFSET($P23,0,AI$13),15-13*ORÇAMENTO!$AF$7)*OFFSET(ORÇAMENTO!$W$15,ROW(AI23)-ROW(AI$15),0),15-13*ORÇAMENTO!$AF$11)),
         0)</f>
        <v>0</v>
      </c>
      <c r="AJ23" s="354" t="n">
        <f aca="true">IF(AND($D23="Serviço",AJ$12&lt;&gt;0,$H23&gt;0,OR(AUTOEVENTO&lt;&gt;"manual",$M23&lt;&gt;$A$15)),
        IF(Import.TipoArredondamento&lt;&gt;"TransfereGOV",
              ROUND(OFFSET($P23,0,AJ$13),15-13*ORÇAMENTO!$AF$7)/$H23*OFFSET(ORÇAMENTO!$X$15,ROW(AJ23)-ROW(AJ$15),0),
              ROUND(ROUND(OFFSET($P23,0,AJ$13),15-13*ORÇAMENTO!$AF$7)*OFFSET(ORÇAMENTO!$W$15,ROW(AJ23)-ROW(AJ$15),0),15-13*ORÇAMENTO!$AF$11)),
         0)</f>
        <v>0</v>
      </c>
      <c r="AK23" s="354" t="n">
        <f aca="true">IF(AND($D23="Serviço",AK$12&lt;&gt;0,$H23&gt;0,OR(AUTOEVENTO&lt;&gt;"manual",$M23&lt;&gt;$A$15)),
        IF(Import.TipoArredondamento&lt;&gt;"TransfereGOV",
              ROUND(OFFSET($P23,0,AK$13),15-13*ORÇAMENTO!$AF$7)/$H23*OFFSET(ORÇAMENTO!$X$15,ROW(AK23)-ROW(AK$15),0),
              ROUND(ROUND(OFFSET($P23,0,AK$13),15-13*ORÇAMENTO!$AF$7)*OFFSET(ORÇAMENTO!$W$15,ROW(AK23)-ROW(AK$15),0),15-13*ORÇAMENTO!$AF$11)),
         0)</f>
        <v>0</v>
      </c>
      <c r="AM23" s="355" t="n">
        <f aca="true">IF(OR($D23&lt;&gt;"Serviço",AND(AUTOEVENTO="Manual",$M23=$A$15)),0,
         IF(OFFSET(CRONOPLE!$F$15,$M23-$A$15,AM$13)=0,10^12,OFFSET(CRONOPLE!$F$15,$M23-$A$15,AM$13)))</f>
        <v>1000000000000</v>
      </c>
      <c r="AN23" s="355" t="n">
        <f aca="true">IF(OR($D23&lt;&gt;"Serviço",AND(AUTOEVENTO="Manual",$M23=$A$15)),0,
         IF(OFFSET(CRONOPLE!$F$15,$M23-$A$15,AN$13)=0,10^12,OFFSET(CRONOPLE!$F$15,$M23-$A$15,AN$13)))</f>
        <v>1000000000000</v>
      </c>
      <c r="AO23" s="355" t="n">
        <f aca="true">IF(OR($D23&lt;&gt;"Serviço",AND(AUTOEVENTO="Manual",$M23=$A$15)),0,
         IF(OFFSET(CRONOPLE!$F$15,$M23-$A$15,AO$13)=0,10^12,OFFSET(CRONOPLE!$F$15,$M23-$A$15,AO$13)))</f>
        <v>1000000000000</v>
      </c>
      <c r="AP23" s="355" t="n">
        <f aca="true">IF(OR($D23&lt;&gt;"Serviço",AND(AUTOEVENTO="Manual",$M23=$A$15)),0,
         IF(OFFSET(CRONOPLE!$F$15,$M23-$A$15,AP$13)=0,10^12,OFFSET(CRONOPLE!$F$15,$M23-$A$15,AP$13)))</f>
        <v>1000000000000</v>
      </c>
      <c r="AQ23" s="355" t="n">
        <f aca="true">IF(OR($D23&lt;&gt;"Serviço",AND(AUTOEVENTO="Manual",$M23=$A$15)),0,
         IF(OFFSET(CRONOPLE!$F$15,$M23-$A$15,AQ$13)=0,10^12,OFFSET(CRONOPLE!$F$15,$M23-$A$15,AQ$13)))</f>
        <v>1000000000000</v>
      </c>
      <c r="AR23" s="355" t="n">
        <f aca="true">IF(OR($D23&lt;&gt;"Serviço",AND(AUTOEVENTO="Manual",$M23=$A$15)),0,
         IF(OFFSET(CRONOPLE!$F$15,$M23-$A$15,AR$13)=0,10^12,OFFSET(CRONOPLE!$F$15,$M23-$A$15,AR$13)))</f>
        <v>1000000000000</v>
      </c>
      <c r="AS23" s="355" t="n">
        <f aca="true">IF(OR($D23&lt;&gt;"Serviço",AND(AUTOEVENTO="Manual",$M23=$A$15)),0,
         IF(OFFSET(CRONOPLE!$F$15,$M23-$A$15,AS$13)=0,10^12,OFFSET(CRONOPLE!$F$15,$M23-$A$15,AS$13)))</f>
        <v>1000000000000</v>
      </c>
      <c r="AT23" s="355" t="n">
        <f aca="true">IF(OR($D23&lt;&gt;"Serviço",AND(AUTOEVENTO="Manual",$M23=$A$15)),0,
         IF(OFFSET(CRONOPLE!$F$15,$M23-$A$15,AT$13)=0,10^12,OFFSET(CRONOPLE!$F$15,$M23-$A$15,AT$13)))</f>
        <v>1000000000000</v>
      </c>
      <c r="AU23" s="355" t="n">
        <f aca="true">IF(OR($D23&lt;&gt;"Serviço",AND(AUTOEVENTO="Manual",$M23=$A$15)),0,
         IF(OFFSET(CRONOPLE!$F$15,$M23-$A$15,AU$13)=0,10^12,OFFSET(CRONOPLE!$F$15,$M23-$A$15,AU$13)))</f>
        <v>1000000000000</v>
      </c>
      <c r="AV23" s="355" t="n">
        <f aca="true">IF(OR($D23&lt;&gt;"Serviço",AND(AUTOEVENTO="Manual",$M23=$A$15)),0,
         IF(OFFSET(CRONOPLE!$F$15,$M23-$A$15,AV$13)=0,10^12,OFFSET(CRONOPLE!$F$15,$M23-$A$15,AV$13)))</f>
        <v>1000000000000</v>
      </c>
      <c r="AX23" s="356" t="n">
        <f aca="true" t="array" ref="AX23:AX23">IF(OR($D23&lt;&gt;"Serviço",AND(AUTOEVENTO="Manual",$M23=$A$15),$M23&gt;(ROW(PLE.lastrow)-ROW(PLE.firstrow))),0,
           IF(OFFSET(PLE!$G$15,$M23-$A$15,AX$13)="",10^12,OFFSET(PLE!$G$15,$M23-$A$15,AX$13)))</f>
        <v>1000000000000</v>
      </c>
      <c r="AY23" s="356" t="n">
        <f aca="true" t="array" ref="AY23:AY23">IF(OR($D23&lt;&gt;"Serviço",AND(AUTOEVENTO="Manual",$M23=$A$15),$M23&gt;(ROW(PLE.lastrow)-ROW(PLE.firstrow))),0,
           IF(OFFSET(PLE!$G$15,$M23-$A$15,AY$13)="",10^12,OFFSET(PLE!$G$15,$M23-$A$15,AY$13)))</f>
        <v>1000000000000</v>
      </c>
      <c r="AZ23" s="356" t="n">
        <f aca="true" t="array" ref="AZ23:AZ23">IF(OR($D23&lt;&gt;"Serviço",AND(AUTOEVENTO="Manual",$M23=$A$15),$M23&gt;(ROW(PLE.lastrow)-ROW(PLE.firstrow))),0,
           IF(OFFSET(PLE!$G$15,$M23-$A$15,AZ$13)="",10^12,OFFSET(PLE!$G$15,$M23-$A$15,AZ$13)))</f>
        <v>1000000000000</v>
      </c>
      <c r="BA23" s="356" t="n">
        <f aca="true" t="array" ref="BA23:BA23">IF(OR($D23&lt;&gt;"Serviço",AND(AUTOEVENTO="Manual",$M23=$A$15),$M23&gt;(ROW(PLE.lastrow)-ROW(PLE.firstrow))),0,
           IF(OFFSET(PLE!$G$15,$M23-$A$15,BA$13)="",10^12,OFFSET(PLE!$G$15,$M23-$A$15,BA$13)))</f>
        <v>1000000000000</v>
      </c>
      <c r="BB23" s="356" t="n">
        <f aca="true" t="array" ref="BB23:BB23">IF(OR($D23&lt;&gt;"Serviço",AND(AUTOEVENTO="Manual",$M23=$A$15),$M23&gt;(ROW(PLE.lastrow)-ROW(PLE.firstrow))),0,
           IF(OFFSET(PLE!$G$15,$M23-$A$15,BB$13)="",10^12,OFFSET(PLE!$G$15,$M23-$A$15,BB$13)))</f>
        <v>1000000000000</v>
      </c>
      <c r="BC23" s="356" t="n">
        <f aca="true" t="array" ref="BC23:BC23">IF(OR($D23&lt;&gt;"Serviço",AND(AUTOEVENTO="Manual",$M23=$A$15),$M23&gt;(ROW(PLE.lastrow)-ROW(PLE.firstrow))),0,
           IF(OFFSET(PLE!$G$15,$M23-$A$15,BC$13)="",10^12,OFFSET(PLE!$G$15,$M23-$A$15,BC$13)))</f>
        <v>1000000000000</v>
      </c>
      <c r="BD23" s="356" t="n">
        <f aca="true" t="array" ref="BD23:BD23">IF(OR($D23&lt;&gt;"Serviço",AND(AUTOEVENTO="Manual",$M23=$A$15),$M23&gt;(ROW(PLE.lastrow)-ROW(PLE.firstrow))),0,
           IF(OFFSET(PLE!$G$15,$M23-$A$15,BD$13)="",10^12,OFFSET(PLE!$G$15,$M23-$A$15,BD$13)))</f>
        <v>1000000000000</v>
      </c>
      <c r="BE23" s="356" t="n">
        <f aca="true" t="array" ref="BE23:BE23">IF(OR($D23&lt;&gt;"Serviço",AND(AUTOEVENTO="Manual",$M23=$A$15),$M23&gt;(ROW(PLE.lastrow)-ROW(PLE.firstrow))),0,
           IF(OFFSET(PLE!$G$15,$M23-$A$15,BE$13)="",10^12,OFFSET(PLE!$G$15,$M23-$A$15,BE$13)))</f>
        <v>1000000000000</v>
      </c>
      <c r="BF23" s="356" t="n">
        <f aca="true" t="array" ref="BF23:BF23">IF(OR($D23&lt;&gt;"Serviço",AND(AUTOEVENTO="Manual",$M23=$A$15),$M23&gt;(ROW(PLE.lastrow)-ROW(PLE.firstrow))),0,
           IF(OFFSET(PLE!$G$15,$M23-$A$15,BF$13)="",10^12,OFFSET(PLE!$G$15,$M23-$A$15,BF$13)))</f>
        <v>1000000000000</v>
      </c>
      <c r="BG23" s="356" t="n">
        <f aca="true" t="array" ref="BG23:BG23">IF(OR($D23&lt;&gt;"Serviço",AND(AUTOEVENTO="Manual",$M23=$A$15),$M23&gt;(ROW(PLE.lastrow)-ROW(PLE.firstrow))),0,
           IF(OFFSET(PLE!$G$15,$M23-$A$15,BG$13)="",10^12,OFFSET(PLE!$G$15,$M23-$A$15,BG$13)))</f>
        <v>1000000000000</v>
      </c>
    </row>
    <row r="24" customFormat="false" ht="12.75" hidden="false" customHeight="false" outlineLevel="0" collapsed="false">
      <c r="A24" s="48" t="str">
        <f aca="true">IFERROR(IF(AUTOEVENTO="Manual",IF(K24&lt;&gt;"",MIN(VALUE(LEFT(K24,FIND(".",K24)-1)),COUNTA(EVENTOS.Lista)),0),IF(OR($B24&gt;AUTOEVENTO,$B24="S",$B24=0),SUBSTITUTE(OFFSET($A24,-1,0),IF($D24="Serviço",".",""),""),$L24&amp;".")),0)</f>
        <v>7</v>
      </c>
      <c r="B24" s="48" t="str">
        <f aca="true">OFFSET(ORÇAMENTO!C$15,$L24,0)</f>
        <v>S</v>
      </c>
      <c r="C24" s="48" t="str">
        <f aca="true">OFFSET(ORÇAMENTO!L$15,$L24,0)</f>
        <v/>
      </c>
      <c r="D24" s="206" t="str">
        <f aca="true">OFFSET(ORÇAMENTO!N$15,$L24,0)</f>
        <v>Serviço</v>
      </c>
      <c r="E24" s="207" t="str">
        <f aca="true">OFFSET(ORÇAMENTO!O$15,$L24,0)</f>
        <v>-</v>
      </c>
      <c r="F24" s="343" t="str">
        <f aca="true">OFFSET(ORÇAMENTO!R$15,$L24,0)</f>
        <v>(Código não identificado nas referências)</v>
      </c>
      <c r="G24" s="344" t="str">
        <f aca="true">IF($D24&lt;&gt;"Serviço","",OFFSET(ORÇAMENTO!S$15,$L24,0))</f>
        <v>-</v>
      </c>
      <c r="H24" s="212" t="n">
        <f aca="true" t="array" ref="H24:H24">IF($D24&lt;&gt;"Serviço",0,IF(ACOMPANHAMENTO="BM",ROUND(OFFSET(ORÇAMENTO!AJ$15,$L24,0),15-13*ORÇAMENTO!$AF$7),IF(IFERROR(CÁLCULO.FrentesPreenchidas,0)=0,0,SUM(ROUND(OFFSET($P24,0,1,1,CÁLCULO.FrentesPreenchidas),15-13*ORÇAMENTO!$AF$7)))))</f>
        <v>1</v>
      </c>
      <c r="I24" s="345" t="s">
        <v>896</v>
      </c>
      <c r="J24" s="346" t="str">
        <f aca="false" t="array" ref="J24:J24">IF(OR(B24&lt;&gt;"S",CÁLCULO.FrentesPreenchidas=0),"",IF(AND(ACOMPANHAMENTO="PLE",AUTOEVENTO="Manual",OR(H24&gt;0,ORÇAMENTO!AC24="QUANT."),OR(K24="",M24=0,N24="")),"►E",IF(AND(ACOMPANHAMENTO="PLE",ORÇAMENTO!AC24="QUANT."),"►Q",IF(AND(ACOMPANHAMENTO="PLE",H24&lt;&gt;SUMPRODUCT(($Q$1:$AA$1=1)*ROUND(Q24:AA24,15))),"►S",IF(AND(COUNTIF($P$11:$AA$11,"▼")=0,H24&gt;0,I24=""),"◄M","")))))</f>
        <v/>
      </c>
      <c r="K24" s="347"/>
      <c r="L24" s="348" t="n">
        <f aca="true">OFFSET(L24,-1,0)+1</f>
        <v>9</v>
      </c>
      <c r="M24" s="349" t="n">
        <f aca="true">IF($D24&lt;&gt;"Serviço","",
          IF(AUTOEVENTO="manual",$A24,
                IF(ISERROR(MATCH($A24,$A$15:OFFSET($A24,-1,0),0)),MAX($M$15:OFFSET(M24,-1,0))+1,
                      INDEX($M$15:OFFSET(M24,-1,0),MATCH($A24,$A$15:OFFSET($A24,-1,0),0)))))</f>
        <v>3</v>
      </c>
      <c r="N24" s="350" t="str">
        <f aca="true">IF($D24&lt;&gt;"Serviço","",
         IF(AUTOEVENTO="Manual",
                IF($A24=0,"&lt;-- defina o número do agrupador",
                       OFFSET(EVENTOS!$D$15,$A24-$A$15,0)),
                OFFSET($F$15,$A24,0)))</f>
        <v>SERVIÇOS PRELIMINARES</v>
      </c>
      <c r="O24" s="351"/>
      <c r="Q24" s="351"/>
      <c r="R24" s="352"/>
      <c r="S24" s="352"/>
      <c r="T24" s="352"/>
      <c r="U24" s="352"/>
      <c r="V24" s="352"/>
      <c r="W24" s="352"/>
      <c r="X24" s="352"/>
      <c r="Y24" s="352"/>
      <c r="Z24" s="353"/>
      <c r="AB24" s="354" t="n">
        <f aca="true">IF(AND($D24="Serviço",AB$12&lt;&gt;0,$H24&gt;0,OR(AUTOEVENTO&lt;&gt;"manual",$M24&lt;&gt;$A$15)),
        IF(Import.TipoArredondamento&lt;&gt;"TransfereGOV",
              ROUND(OFFSET($P24,0,AB$13),15-13*ORÇAMENTO!$AF$7)/$H24*OFFSET(ORÇAMENTO!$X$15,ROW(AB24)-ROW(AB$15),0),
              ROUND(ROUND(OFFSET($P24,0,AB$13),15-13*ORÇAMENTO!$AF$7)*OFFSET(ORÇAMENTO!$W$15,ROW(AB24)-ROW(AB$15),0),15-13*ORÇAMENTO!$AF$11)),
         0)</f>
        <v>0</v>
      </c>
      <c r="AC24" s="354" t="n">
        <f aca="true">IF(AND($D24="Serviço",AC$12&lt;&gt;0,$H24&gt;0,OR(AUTOEVENTO&lt;&gt;"manual",$M24&lt;&gt;$A$15)),
        IF(Import.TipoArredondamento&lt;&gt;"TransfereGOV",
              ROUND(OFFSET($P24,0,AC$13),15-13*ORÇAMENTO!$AF$7)/$H24*OFFSET(ORÇAMENTO!$X$15,ROW(AC24)-ROW(AC$15),0),
              ROUND(ROUND(OFFSET($P24,0,AC$13),15-13*ORÇAMENTO!$AF$7)*OFFSET(ORÇAMENTO!$W$15,ROW(AC24)-ROW(AC$15),0),15-13*ORÇAMENTO!$AF$11)),
         0)</f>
        <v>0</v>
      </c>
      <c r="AD24" s="354" t="n">
        <f aca="true">IF(AND($D24="Serviço",AD$12&lt;&gt;0,$H24&gt;0,OR(AUTOEVENTO&lt;&gt;"manual",$M24&lt;&gt;$A$15)),
        IF(Import.TipoArredondamento&lt;&gt;"TransfereGOV",
              ROUND(OFFSET($P24,0,AD$13),15-13*ORÇAMENTO!$AF$7)/$H24*OFFSET(ORÇAMENTO!$X$15,ROW(AD24)-ROW(AD$15),0),
              ROUND(ROUND(OFFSET($P24,0,AD$13),15-13*ORÇAMENTO!$AF$7)*OFFSET(ORÇAMENTO!$W$15,ROW(AD24)-ROW(AD$15),0),15-13*ORÇAMENTO!$AF$11)),
         0)</f>
        <v>0</v>
      </c>
      <c r="AE24" s="354" t="n">
        <f aca="true">IF(AND($D24="Serviço",AE$12&lt;&gt;0,$H24&gt;0,OR(AUTOEVENTO&lt;&gt;"manual",$M24&lt;&gt;$A$15)),
        IF(Import.TipoArredondamento&lt;&gt;"TransfereGOV",
              ROUND(OFFSET($P24,0,AE$13),15-13*ORÇAMENTO!$AF$7)/$H24*OFFSET(ORÇAMENTO!$X$15,ROW(AE24)-ROW(AE$15),0),
              ROUND(ROUND(OFFSET($P24,0,AE$13),15-13*ORÇAMENTO!$AF$7)*OFFSET(ORÇAMENTO!$W$15,ROW(AE24)-ROW(AE$15),0),15-13*ORÇAMENTO!$AF$11)),
         0)</f>
        <v>0</v>
      </c>
      <c r="AF24" s="354" t="n">
        <f aca="true">IF(AND($D24="Serviço",AF$12&lt;&gt;0,$H24&gt;0,OR(AUTOEVENTO&lt;&gt;"manual",$M24&lt;&gt;$A$15)),
        IF(Import.TipoArredondamento&lt;&gt;"TransfereGOV",
              ROUND(OFFSET($P24,0,AF$13),15-13*ORÇAMENTO!$AF$7)/$H24*OFFSET(ORÇAMENTO!$X$15,ROW(AF24)-ROW(AF$15),0),
              ROUND(ROUND(OFFSET($P24,0,AF$13),15-13*ORÇAMENTO!$AF$7)*OFFSET(ORÇAMENTO!$W$15,ROW(AF24)-ROW(AF$15),0),15-13*ORÇAMENTO!$AF$11)),
         0)</f>
        <v>0</v>
      </c>
      <c r="AG24" s="354" t="n">
        <f aca="true">IF(AND($D24="Serviço",AG$12&lt;&gt;0,$H24&gt;0,OR(AUTOEVENTO&lt;&gt;"manual",$M24&lt;&gt;$A$15)),
        IF(Import.TipoArredondamento&lt;&gt;"TransfereGOV",
              ROUND(OFFSET($P24,0,AG$13),15-13*ORÇAMENTO!$AF$7)/$H24*OFFSET(ORÇAMENTO!$X$15,ROW(AG24)-ROW(AG$15),0),
              ROUND(ROUND(OFFSET($P24,0,AG$13),15-13*ORÇAMENTO!$AF$7)*OFFSET(ORÇAMENTO!$W$15,ROW(AG24)-ROW(AG$15),0),15-13*ORÇAMENTO!$AF$11)),
         0)</f>
        <v>0</v>
      </c>
      <c r="AH24" s="354" t="n">
        <f aca="true">IF(AND($D24="Serviço",AH$12&lt;&gt;0,$H24&gt;0,OR(AUTOEVENTO&lt;&gt;"manual",$M24&lt;&gt;$A$15)),
        IF(Import.TipoArredondamento&lt;&gt;"TransfereGOV",
              ROUND(OFFSET($P24,0,AH$13),15-13*ORÇAMENTO!$AF$7)/$H24*OFFSET(ORÇAMENTO!$X$15,ROW(AH24)-ROW(AH$15),0),
              ROUND(ROUND(OFFSET($P24,0,AH$13),15-13*ORÇAMENTO!$AF$7)*OFFSET(ORÇAMENTO!$W$15,ROW(AH24)-ROW(AH$15),0),15-13*ORÇAMENTO!$AF$11)),
         0)</f>
        <v>0</v>
      </c>
      <c r="AI24" s="354" t="n">
        <f aca="true">IF(AND($D24="Serviço",AI$12&lt;&gt;0,$H24&gt;0,OR(AUTOEVENTO&lt;&gt;"manual",$M24&lt;&gt;$A$15)),
        IF(Import.TipoArredondamento&lt;&gt;"TransfereGOV",
              ROUND(OFFSET($P24,0,AI$13),15-13*ORÇAMENTO!$AF$7)/$H24*OFFSET(ORÇAMENTO!$X$15,ROW(AI24)-ROW(AI$15),0),
              ROUND(ROUND(OFFSET($P24,0,AI$13),15-13*ORÇAMENTO!$AF$7)*OFFSET(ORÇAMENTO!$W$15,ROW(AI24)-ROW(AI$15),0),15-13*ORÇAMENTO!$AF$11)),
         0)</f>
        <v>0</v>
      </c>
      <c r="AJ24" s="354" t="n">
        <f aca="true">IF(AND($D24="Serviço",AJ$12&lt;&gt;0,$H24&gt;0,OR(AUTOEVENTO&lt;&gt;"manual",$M24&lt;&gt;$A$15)),
        IF(Import.TipoArredondamento&lt;&gt;"TransfereGOV",
              ROUND(OFFSET($P24,0,AJ$13),15-13*ORÇAMENTO!$AF$7)/$H24*OFFSET(ORÇAMENTO!$X$15,ROW(AJ24)-ROW(AJ$15),0),
              ROUND(ROUND(OFFSET($P24,0,AJ$13),15-13*ORÇAMENTO!$AF$7)*OFFSET(ORÇAMENTO!$W$15,ROW(AJ24)-ROW(AJ$15),0),15-13*ORÇAMENTO!$AF$11)),
         0)</f>
        <v>0</v>
      </c>
      <c r="AK24" s="354" t="n">
        <f aca="true">IF(AND($D24="Serviço",AK$12&lt;&gt;0,$H24&gt;0,OR(AUTOEVENTO&lt;&gt;"manual",$M24&lt;&gt;$A$15)),
        IF(Import.TipoArredondamento&lt;&gt;"TransfereGOV",
              ROUND(OFFSET($P24,0,AK$13),15-13*ORÇAMENTO!$AF$7)/$H24*OFFSET(ORÇAMENTO!$X$15,ROW(AK24)-ROW(AK$15),0),
              ROUND(ROUND(OFFSET($P24,0,AK$13),15-13*ORÇAMENTO!$AF$7)*OFFSET(ORÇAMENTO!$W$15,ROW(AK24)-ROW(AK$15),0),15-13*ORÇAMENTO!$AF$11)),
         0)</f>
        <v>0</v>
      </c>
      <c r="AM24" s="355" t="n">
        <f aca="true">IF(OR($D24&lt;&gt;"Serviço",AND(AUTOEVENTO="Manual",$M24=$A$15)),0,
         IF(OFFSET(CRONOPLE!$F$15,$M24-$A$15,AM$13)=0,10^12,OFFSET(CRONOPLE!$F$15,$M24-$A$15,AM$13)))</f>
        <v>1000000000000</v>
      </c>
      <c r="AN24" s="355" t="n">
        <f aca="true">IF(OR($D24&lt;&gt;"Serviço",AND(AUTOEVENTO="Manual",$M24=$A$15)),0,
         IF(OFFSET(CRONOPLE!$F$15,$M24-$A$15,AN$13)=0,10^12,OFFSET(CRONOPLE!$F$15,$M24-$A$15,AN$13)))</f>
        <v>1000000000000</v>
      </c>
      <c r="AO24" s="355" t="n">
        <f aca="true">IF(OR($D24&lt;&gt;"Serviço",AND(AUTOEVENTO="Manual",$M24=$A$15)),0,
         IF(OFFSET(CRONOPLE!$F$15,$M24-$A$15,AO$13)=0,10^12,OFFSET(CRONOPLE!$F$15,$M24-$A$15,AO$13)))</f>
        <v>1000000000000</v>
      </c>
      <c r="AP24" s="355" t="n">
        <f aca="true">IF(OR($D24&lt;&gt;"Serviço",AND(AUTOEVENTO="Manual",$M24=$A$15)),0,
         IF(OFFSET(CRONOPLE!$F$15,$M24-$A$15,AP$13)=0,10^12,OFFSET(CRONOPLE!$F$15,$M24-$A$15,AP$13)))</f>
        <v>1000000000000</v>
      </c>
      <c r="AQ24" s="355" t="n">
        <f aca="true">IF(OR($D24&lt;&gt;"Serviço",AND(AUTOEVENTO="Manual",$M24=$A$15)),0,
         IF(OFFSET(CRONOPLE!$F$15,$M24-$A$15,AQ$13)=0,10^12,OFFSET(CRONOPLE!$F$15,$M24-$A$15,AQ$13)))</f>
        <v>1000000000000</v>
      </c>
      <c r="AR24" s="355" t="n">
        <f aca="true">IF(OR($D24&lt;&gt;"Serviço",AND(AUTOEVENTO="Manual",$M24=$A$15)),0,
         IF(OFFSET(CRONOPLE!$F$15,$M24-$A$15,AR$13)=0,10^12,OFFSET(CRONOPLE!$F$15,$M24-$A$15,AR$13)))</f>
        <v>1000000000000</v>
      </c>
      <c r="AS24" s="355" t="n">
        <f aca="true">IF(OR($D24&lt;&gt;"Serviço",AND(AUTOEVENTO="Manual",$M24=$A$15)),0,
         IF(OFFSET(CRONOPLE!$F$15,$M24-$A$15,AS$13)=0,10^12,OFFSET(CRONOPLE!$F$15,$M24-$A$15,AS$13)))</f>
        <v>1000000000000</v>
      </c>
      <c r="AT24" s="355" t="n">
        <f aca="true">IF(OR($D24&lt;&gt;"Serviço",AND(AUTOEVENTO="Manual",$M24=$A$15)),0,
         IF(OFFSET(CRONOPLE!$F$15,$M24-$A$15,AT$13)=0,10^12,OFFSET(CRONOPLE!$F$15,$M24-$A$15,AT$13)))</f>
        <v>1000000000000</v>
      </c>
      <c r="AU24" s="355" t="n">
        <f aca="true">IF(OR($D24&lt;&gt;"Serviço",AND(AUTOEVENTO="Manual",$M24=$A$15)),0,
         IF(OFFSET(CRONOPLE!$F$15,$M24-$A$15,AU$13)=0,10^12,OFFSET(CRONOPLE!$F$15,$M24-$A$15,AU$13)))</f>
        <v>1000000000000</v>
      </c>
      <c r="AV24" s="355" t="n">
        <f aca="true">IF(OR($D24&lt;&gt;"Serviço",AND(AUTOEVENTO="Manual",$M24=$A$15)),0,
         IF(OFFSET(CRONOPLE!$F$15,$M24-$A$15,AV$13)=0,10^12,OFFSET(CRONOPLE!$F$15,$M24-$A$15,AV$13)))</f>
        <v>1000000000000</v>
      </c>
      <c r="AX24" s="356" t="n">
        <f aca="true" t="array" ref="AX24:AX24">IF(OR($D24&lt;&gt;"Serviço",AND(AUTOEVENTO="Manual",$M24=$A$15),$M24&gt;(ROW(PLE.lastrow)-ROW(PLE.firstrow))),0,
           IF(OFFSET(PLE!$G$15,$M24-$A$15,AX$13)="",10^12,OFFSET(PLE!$G$15,$M24-$A$15,AX$13)))</f>
        <v>1000000000000</v>
      </c>
      <c r="AY24" s="356" t="n">
        <f aca="true" t="array" ref="AY24:AY24">IF(OR($D24&lt;&gt;"Serviço",AND(AUTOEVENTO="Manual",$M24=$A$15),$M24&gt;(ROW(PLE.lastrow)-ROW(PLE.firstrow))),0,
           IF(OFFSET(PLE!$G$15,$M24-$A$15,AY$13)="",10^12,OFFSET(PLE!$G$15,$M24-$A$15,AY$13)))</f>
        <v>1000000000000</v>
      </c>
      <c r="AZ24" s="356" t="n">
        <f aca="true" t="array" ref="AZ24:AZ24">IF(OR($D24&lt;&gt;"Serviço",AND(AUTOEVENTO="Manual",$M24=$A$15),$M24&gt;(ROW(PLE.lastrow)-ROW(PLE.firstrow))),0,
           IF(OFFSET(PLE!$G$15,$M24-$A$15,AZ$13)="",10^12,OFFSET(PLE!$G$15,$M24-$A$15,AZ$13)))</f>
        <v>1000000000000</v>
      </c>
      <c r="BA24" s="356" t="n">
        <f aca="true" t="array" ref="BA24:BA24">IF(OR($D24&lt;&gt;"Serviço",AND(AUTOEVENTO="Manual",$M24=$A$15),$M24&gt;(ROW(PLE.lastrow)-ROW(PLE.firstrow))),0,
           IF(OFFSET(PLE!$G$15,$M24-$A$15,BA$13)="",10^12,OFFSET(PLE!$G$15,$M24-$A$15,BA$13)))</f>
        <v>1000000000000</v>
      </c>
      <c r="BB24" s="356" t="n">
        <f aca="true" t="array" ref="BB24:BB24">IF(OR($D24&lt;&gt;"Serviço",AND(AUTOEVENTO="Manual",$M24=$A$15),$M24&gt;(ROW(PLE.lastrow)-ROW(PLE.firstrow))),0,
           IF(OFFSET(PLE!$G$15,$M24-$A$15,BB$13)="",10^12,OFFSET(PLE!$G$15,$M24-$A$15,BB$13)))</f>
        <v>1000000000000</v>
      </c>
      <c r="BC24" s="356" t="n">
        <f aca="true" t="array" ref="BC24:BC24">IF(OR($D24&lt;&gt;"Serviço",AND(AUTOEVENTO="Manual",$M24=$A$15),$M24&gt;(ROW(PLE.lastrow)-ROW(PLE.firstrow))),0,
           IF(OFFSET(PLE!$G$15,$M24-$A$15,BC$13)="",10^12,OFFSET(PLE!$G$15,$M24-$A$15,BC$13)))</f>
        <v>1000000000000</v>
      </c>
      <c r="BD24" s="356" t="n">
        <f aca="true" t="array" ref="BD24:BD24">IF(OR($D24&lt;&gt;"Serviço",AND(AUTOEVENTO="Manual",$M24=$A$15),$M24&gt;(ROW(PLE.lastrow)-ROW(PLE.firstrow))),0,
           IF(OFFSET(PLE!$G$15,$M24-$A$15,BD$13)="",10^12,OFFSET(PLE!$G$15,$M24-$A$15,BD$13)))</f>
        <v>1000000000000</v>
      </c>
      <c r="BE24" s="356" t="n">
        <f aca="true" t="array" ref="BE24:BE24">IF(OR($D24&lt;&gt;"Serviço",AND(AUTOEVENTO="Manual",$M24=$A$15),$M24&gt;(ROW(PLE.lastrow)-ROW(PLE.firstrow))),0,
           IF(OFFSET(PLE!$G$15,$M24-$A$15,BE$13)="",10^12,OFFSET(PLE!$G$15,$M24-$A$15,BE$13)))</f>
        <v>1000000000000</v>
      </c>
      <c r="BF24" s="356" t="n">
        <f aca="true" t="array" ref="BF24:BF24">IF(OR($D24&lt;&gt;"Serviço",AND(AUTOEVENTO="Manual",$M24=$A$15),$M24&gt;(ROW(PLE.lastrow)-ROW(PLE.firstrow))),0,
           IF(OFFSET(PLE!$G$15,$M24-$A$15,BF$13)="",10^12,OFFSET(PLE!$G$15,$M24-$A$15,BF$13)))</f>
        <v>1000000000000</v>
      </c>
      <c r="BG24" s="356" t="n">
        <f aca="true" t="array" ref="BG24:BG24">IF(OR($D24&lt;&gt;"Serviço",AND(AUTOEVENTO="Manual",$M24=$A$15),$M24&gt;(ROW(PLE.lastrow)-ROW(PLE.firstrow))),0,
           IF(OFFSET(PLE!$G$15,$M24-$A$15,BG$13)="",10^12,OFFSET(PLE!$G$15,$M24-$A$15,BG$13)))</f>
        <v>1000000000000</v>
      </c>
    </row>
    <row r="25" customFormat="false" ht="12.75" hidden="false" customHeight="false" outlineLevel="0" collapsed="false">
      <c r="A25" s="48" t="str">
        <f aca="true">IFERROR(IF(AUTOEVENTO="Manual",IF(K25&lt;&gt;"",MIN(VALUE(LEFT(K25,FIND(".",K25)-1)),COUNTA(EVENTOS.Lista)),0),IF(OR($B25&gt;AUTOEVENTO,$B25="S",$B25=0),SUBSTITUTE(OFFSET($A25,-1,0),IF($D25="Serviço",".",""),""),$L25&amp;".")),0)</f>
        <v>7</v>
      </c>
      <c r="B25" s="48" t="str">
        <f aca="true">OFFSET(ORÇAMENTO!C$15,$L25,0)</f>
        <v>S</v>
      </c>
      <c r="C25" s="48" t="str">
        <f aca="true">OFFSET(ORÇAMENTO!L$15,$L25,0)</f>
        <v/>
      </c>
      <c r="D25" s="206" t="str">
        <f aca="true">OFFSET(ORÇAMENTO!N$15,$L25,0)</f>
        <v>Serviço</v>
      </c>
      <c r="E25" s="207" t="str">
        <f aca="true">OFFSET(ORÇAMENTO!O$15,$L25,0)</f>
        <v>-</v>
      </c>
      <c r="F25" s="343" t="str">
        <f aca="true">OFFSET(ORÇAMENTO!R$15,$L25,0)</f>
        <v>(Código não identificado nas referências)</v>
      </c>
      <c r="G25" s="344" t="str">
        <f aca="true">IF($D25&lt;&gt;"Serviço","",OFFSET(ORÇAMENTO!S$15,$L25,0))</f>
        <v>-</v>
      </c>
      <c r="H25" s="212" t="n">
        <f aca="true" t="array" ref="H25:H25">IF($D25&lt;&gt;"Serviço",0,IF(ACOMPANHAMENTO="BM",ROUND(OFFSET(ORÇAMENTO!AJ$15,$L25,0),15-13*ORÇAMENTO!$AF$7),IF(IFERROR(CÁLCULO.FrentesPreenchidas,0)=0,0,SUM(ROUND(OFFSET($P25,0,1,1,CÁLCULO.FrentesPreenchidas),15-13*ORÇAMENTO!$AF$7)))))</f>
        <v>1</v>
      </c>
      <c r="I25" s="345" t="s">
        <v>896</v>
      </c>
      <c r="J25" s="346" t="str">
        <f aca="false" t="array" ref="J25:J25">IF(OR(B25&lt;&gt;"S",CÁLCULO.FrentesPreenchidas=0),"",IF(AND(ACOMPANHAMENTO="PLE",AUTOEVENTO="Manual",OR(H25&gt;0,ORÇAMENTO!AC25="QUANT."),OR(K25="",M25=0,N25="")),"►E",IF(AND(ACOMPANHAMENTO="PLE",ORÇAMENTO!AC25="QUANT."),"►Q",IF(AND(ACOMPANHAMENTO="PLE",H25&lt;&gt;SUMPRODUCT(($Q$1:$AA$1=1)*ROUND(Q25:AA25,15))),"►S",IF(AND(COUNTIF($P$11:$AA$11,"▼")=0,H25&gt;0,I25=""),"◄M","")))))</f>
        <v/>
      </c>
      <c r="K25" s="347"/>
      <c r="L25" s="348" t="n">
        <f aca="true">OFFSET(L25,-1,0)+1</f>
        <v>10</v>
      </c>
      <c r="M25" s="349" t="n">
        <f aca="true">IF($D25&lt;&gt;"Serviço","",
          IF(AUTOEVENTO="manual",$A25,
                IF(ISERROR(MATCH($A25,$A$15:OFFSET($A25,-1,0),0)),MAX($M$15:OFFSET(M25,-1,0))+1,
                      INDEX($M$15:OFFSET(M25,-1,0),MATCH($A25,$A$15:OFFSET($A25,-1,0),0)))))</f>
        <v>3</v>
      </c>
      <c r="N25" s="350" t="str">
        <f aca="true">IF($D25&lt;&gt;"Serviço","",
         IF(AUTOEVENTO="Manual",
                IF($A25=0,"&lt;-- defina o número do agrupador",
                       OFFSET(EVENTOS!$D$15,$A25-$A$15,0)),
                OFFSET($F$15,$A25,0)))</f>
        <v>SERVIÇOS PRELIMINARES</v>
      </c>
      <c r="O25" s="351"/>
      <c r="Q25" s="351"/>
      <c r="R25" s="352"/>
      <c r="S25" s="352"/>
      <c r="T25" s="352"/>
      <c r="U25" s="352"/>
      <c r="V25" s="352"/>
      <c r="W25" s="352"/>
      <c r="X25" s="352"/>
      <c r="Y25" s="352"/>
      <c r="Z25" s="353"/>
      <c r="AB25" s="354" t="n">
        <f aca="true">IF(AND($D25="Serviço",AB$12&lt;&gt;0,$H25&gt;0,OR(AUTOEVENTO&lt;&gt;"manual",$M25&lt;&gt;$A$15)),
        IF(Import.TipoArredondamento&lt;&gt;"TransfereGOV",
              ROUND(OFFSET($P25,0,AB$13),15-13*ORÇAMENTO!$AF$7)/$H25*OFFSET(ORÇAMENTO!$X$15,ROW(AB25)-ROW(AB$15),0),
              ROUND(ROUND(OFFSET($P25,0,AB$13),15-13*ORÇAMENTO!$AF$7)*OFFSET(ORÇAMENTO!$W$15,ROW(AB25)-ROW(AB$15),0),15-13*ORÇAMENTO!$AF$11)),
         0)</f>
        <v>0</v>
      </c>
      <c r="AC25" s="354" t="n">
        <f aca="true">IF(AND($D25="Serviço",AC$12&lt;&gt;0,$H25&gt;0,OR(AUTOEVENTO&lt;&gt;"manual",$M25&lt;&gt;$A$15)),
        IF(Import.TipoArredondamento&lt;&gt;"TransfereGOV",
              ROUND(OFFSET($P25,0,AC$13),15-13*ORÇAMENTO!$AF$7)/$H25*OFFSET(ORÇAMENTO!$X$15,ROW(AC25)-ROW(AC$15),0),
              ROUND(ROUND(OFFSET($P25,0,AC$13),15-13*ORÇAMENTO!$AF$7)*OFFSET(ORÇAMENTO!$W$15,ROW(AC25)-ROW(AC$15),0),15-13*ORÇAMENTO!$AF$11)),
         0)</f>
        <v>0</v>
      </c>
      <c r="AD25" s="354" t="n">
        <f aca="true">IF(AND($D25="Serviço",AD$12&lt;&gt;0,$H25&gt;0,OR(AUTOEVENTO&lt;&gt;"manual",$M25&lt;&gt;$A$15)),
        IF(Import.TipoArredondamento&lt;&gt;"TransfereGOV",
              ROUND(OFFSET($P25,0,AD$13),15-13*ORÇAMENTO!$AF$7)/$H25*OFFSET(ORÇAMENTO!$X$15,ROW(AD25)-ROW(AD$15),0),
              ROUND(ROUND(OFFSET($P25,0,AD$13),15-13*ORÇAMENTO!$AF$7)*OFFSET(ORÇAMENTO!$W$15,ROW(AD25)-ROW(AD$15),0),15-13*ORÇAMENTO!$AF$11)),
         0)</f>
        <v>0</v>
      </c>
      <c r="AE25" s="354" t="n">
        <f aca="true">IF(AND($D25="Serviço",AE$12&lt;&gt;0,$H25&gt;0,OR(AUTOEVENTO&lt;&gt;"manual",$M25&lt;&gt;$A$15)),
        IF(Import.TipoArredondamento&lt;&gt;"TransfereGOV",
              ROUND(OFFSET($P25,0,AE$13),15-13*ORÇAMENTO!$AF$7)/$H25*OFFSET(ORÇAMENTO!$X$15,ROW(AE25)-ROW(AE$15),0),
              ROUND(ROUND(OFFSET($P25,0,AE$13),15-13*ORÇAMENTO!$AF$7)*OFFSET(ORÇAMENTO!$W$15,ROW(AE25)-ROW(AE$15),0),15-13*ORÇAMENTO!$AF$11)),
         0)</f>
        <v>0</v>
      </c>
      <c r="AF25" s="354" t="n">
        <f aca="true">IF(AND($D25="Serviço",AF$12&lt;&gt;0,$H25&gt;0,OR(AUTOEVENTO&lt;&gt;"manual",$M25&lt;&gt;$A$15)),
        IF(Import.TipoArredondamento&lt;&gt;"TransfereGOV",
              ROUND(OFFSET($P25,0,AF$13),15-13*ORÇAMENTO!$AF$7)/$H25*OFFSET(ORÇAMENTO!$X$15,ROW(AF25)-ROW(AF$15),0),
              ROUND(ROUND(OFFSET($P25,0,AF$13),15-13*ORÇAMENTO!$AF$7)*OFFSET(ORÇAMENTO!$W$15,ROW(AF25)-ROW(AF$15),0),15-13*ORÇAMENTO!$AF$11)),
         0)</f>
        <v>0</v>
      </c>
      <c r="AG25" s="354" t="n">
        <f aca="true">IF(AND($D25="Serviço",AG$12&lt;&gt;0,$H25&gt;0,OR(AUTOEVENTO&lt;&gt;"manual",$M25&lt;&gt;$A$15)),
        IF(Import.TipoArredondamento&lt;&gt;"TransfereGOV",
              ROUND(OFFSET($P25,0,AG$13),15-13*ORÇAMENTO!$AF$7)/$H25*OFFSET(ORÇAMENTO!$X$15,ROW(AG25)-ROW(AG$15),0),
              ROUND(ROUND(OFFSET($P25,0,AG$13),15-13*ORÇAMENTO!$AF$7)*OFFSET(ORÇAMENTO!$W$15,ROW(AG25)-ROW(AG$15),0),15-13*ORÇAMENTO!$AF$11)),
         0)</f>
        <v>0</v>
      </c>
      <c r="AH25" s="354" t="n">
        <f aca="true">IF(AND($D25="Serviço",AH$12&lt;&gt;0,$H25&gt;0,OR(AUTOEVENTO&lt;&gt;"manual",$M25&lt;&gt;$A$15)),
        IF(Import.TipoArredondamento&lt;&gt;"TransfereGOV",
              ROUND(OFFSET($P25,0,AH$13),15-13*ORÇAMENTO!$AF$7)/$H25*OFFSET(ORÇAMENTO!$X$15,ROW(AH25)-ROW(AH$15),0),
              ROUND(ROUND(OFFSET($P25,0,AH$13),15-13*ORÇAMENTO!$AF$7)*OFFSET(ORÇAMENTO!$W$15,ROW(AH25)-ROW(AH$15),0),15-13*ORÇAMENTO!$AF$11)),
         0)</f>
        <v>0</v>
      </c>
      <c r="AI25" s="354" t="n">
        <f aca="true">IF(AND($D25="Serviço",AI$12&lt;&gt;0,$H25&gt;0,OR(AUTOEVENTO&lt;&gt;"manual",$M25&lt;&gt;$A$15)),
        IF(Import.TipoArredondamento&lt;&gt;"TransfereGOV",
              ROUND(OFFSET($P25,0,AI$13),15-13*ORÇAMENTO!$AF$7)/$H25*OFFSET(ORÇAMENTO!$X$15,ROW(AI25)-ROW(AI$15),0),
              ROUND(ROUND(OFFSET($P25,0,AI$13),15-13*ORÇAMENTO!$AF$7)*OFFSET(ORÇAMENTO!$W$15,ROW(AI25)-ROW(AI$15),0),15-13*ORÇAMENTO!$AF$11)),
         0)</f>
        <v>0</v>
      </c>
      <c r="AJ25" s="354" t="n">
        <f aca="true">IF(AND($D25="Serviço",AJ$12&lt;&gt;0,$H25&gt;0,OR(AUTOEVENTO&lt;&gt;"manual",$M25&lt;&gt;$A$15)),
        IF(Import.TipoArredondamento&lt;&gt;"TransfereGOV",
              ROUND(OFFSET($P25,0,AJ$13),15-13*ORÇAMENTO!$AF$7)/$H25*OFFSET(ORÇAMENTO!$X$15,ROW(AJ25)-ROW(AJ$15),0),
              ROUND(ROUND(OFFSET($P25,0,AJ$13),15-13*ORÇAMENTO!$AF$7)*OFFSET(ORÇAMENTO!$W$15,ROW(AJ25)-ROW(AJ$15),0),15-13*ORÇAMENTO!$AF$11)),
         0)</f>
        <v>0</v>
      </c>
      <c r="AK25" s="354" t="n">
        <f aca="true">IF(AND($D25="Serviço",AK$12&lt;&gt;0,$H25&gt;0,OR(AUTOEVENTO&lt;&gt;"manual",$M25&lt;&gt;$A$15)),
        IF(Import.TipoArredondamento&lt;&gt;"TransfereGOV",
              ROUND(OFFSET($P25,0,AK$13),15-13*ORÇAMENTO!$AF$7)/$H25*OFFSET(ORÇAMENTO!$X$15,ROW(AK25)-ROW(AK$15),0),
              ROUND(ROUND(OFFSET($P25,0,AK$13),15-13*ORÇAMENTO!$AF$7)*OFFSET(ORÇAMENTO!$W$15,ROW(AK25)-ROW(AK$15),0),15-13*ORÇAMENTO!$AF$11)),
         0)</f>
        <v>0</v>
      </c>
      <c r="AM25" s="355" t="n">
        <f aca="true">IF(OR($D25&lt;&gt;"Serviço",AND(AUTOEVENTO="Manual",$M25=$A$15)),0,
         IF(OFFSET(CRONOPLE!$F$15,$M25-$A$15,AM$13)=0,10^12,OFFSET(CRONOPLE!$F$15,$M25-$A$15,AM$13)))</f>
        <v>1000000000000</v>
      </c>
      <c r="AN25" s="355" t="n">
        <f aca="true">IF(OR($D25&lt;&gt;"Serviço",AND(AUTOEVENTO="Manual",$M25=$A$15)),0,
         IF(OFFSET(CRONOPLE!$F$15,$M25-$A$15,AN$13)=0,10^12,OFFSET(CRONOPLE!$F$15,$M25-$A$15,AN$13)))</f>
        <v>1000000000000</v>
      </c>
      <c r="AO25" s="355" t="n">
        <f aca="true">IF(OR($D25&lt;&gt;"Serviço",AND(AUTOEVENTO="Manual",$M25=$A$15)),0,
         IF(OFFSET(CRONOPLE!$F$15,$M25-$A$15,AO$13)=0,10^12,OFFSET(CRONOPLE!$F$15,$M25-$A$15,AO$13)))</f>
        <v>1000000000000</v>
      </c>
      <c r="AP25" s="355" t="n">
        <f aca="true">IF(OR($D25&lt;&gt;"Serviço",AND(AUTOEVENTO="Manual",$M25=$A$15)),0,
         IF(OFFSET(CRONOPLE!$F$15,$M25-$A$15,AP$13)=0,10^12,OFFSET(CRONOPLE!$F$15,$M25-$A$15,AP$13)))</f>
        <v>1000000000000</v>
      </c>
      <c r="AQ25" s="355" t="n">
        <f aca="true">IF(OR($D25&lt;&gt;"Serviço",AND(AUTOEVENTO="Manual",$M25=$A$15)),0,
         IF(OFFSET(CRONOPLE!$F$15,$M25-$A$15,AQ$13)=0,10^12,OFFSET(CRONOPLE!$F$15,$M25-$A$15,AQ$13)))</f>
        <v>1000000000000</v>
      </c>
      <c r="AR25" s="355" t="n">
        <f aca="true">IF(OR($D25&lt;&gt;"Serviço",AND(AUTOEVENTO="Manual",$M25=$A$15)),0,
         IF(OFFSET(CRONOPLE!$F$15,$M25-$A$15,AR$13)=0,10^12,OFFSET(CRONOPLE!$F$15,$M25-$A$15,AR$13)))</f>
        <v>1000000000000</v>
      </c>
      <c r="AS25" s="355" t="n">
        <f aca="true">IF(OR($D25&lt;&gt;"Serviço",AND(AUTOEVENTO="Manual",$M25=$A$15)),0,
         IF(OFFSET(CRONOPLE!$F$15,$M25-$A$15,AS$13)=0,10^12,OFFSET(CRONOPLE!$F$15,$M25-$A$15,AS$13)))</f>
        <v>1000000000000</v>
      </c>
      <c r="AT25" s="355" t="n">
        <f aca="true">IF(OR($D25&lt;&gt;"Serviço",AND(AUTOEVENTO="Manual",$M25=$A$15)),0,
         IF(OFFSET(CRONOPLE!$F$15,$M25-$A$15,AT$13)=0,10^12,OFFSET(CRONOPLE!$F$15,$M25-$A$15,AT$13)))</f>
        <v>1000000000000</v>
      </c>
      <c r="AU25" s="355" t="n">
        <f aca="true">IF(OR($D25&lt;&gt;"Serviço",AND(AUTOEVENTO="Manual",$M25=$A$15)),0,
         IF(OFFSET(CRONOPLE!$F$15,$M25-$A$15,AU$13)=0,10^12,OFFSET(CRONOPLE!$F$15,$M25-$A$15,AU$13)))</f>
        <v>1000000000000</v>
      </c>
      <c r="AV25" s="355" t="n">
        <f aca="true">IF(OR($D25&lt;&gt;"Serviço",AND(AUTOEVENTO="Manual",$M25=$A$15)),0,
         IF(OFFSET(CRONOPLE!$F$15,$M25-$A$15,AV$13)=0,10^12,OFFSET(CRONOPLE!$F$15,$M25-$A$15,AV$13)))</f>
        <v>1000000000000</v>
      </c>
      <c r="AX25" s="356" t="n">
        <f aca="true" t="array" ref="AX25:AX25">IF(OR($D25&lt;&gt;"Serviço",AND(AUTOEVENTO="Manual",$M25=$A$15),$M25&gt;(ROW(PLE.lastrow)-ROW(PLE.firstrow))),0,
           IF(OFFSET(PLE!$G$15,$M25-$A$15,AX$13)="",10^12,OFFSET(PLE!$G$15,$M25-$A$15,AX$13)))</f>
        <v>1000000000000</v>
      </c>
      <c r="AY25" s="356" t="n">
        <f aca="true" t="array" ref="AY25:AY25">IF(OR($D25&lt;&gt;"Serviço",AND(AUTOEVENTO="Manual",$M25=$A$15),$M25&gt;(ROW(PLE.lastrow)-ROW(PLE.firstrow))),0,
           IF(OFFSET(PLE!$G$15,$M25-$A$15,AY$13)="",10^12,OFFSET(PLE!$G$15,$M25-$A$15,AY$13)))</f>
        <v>1000000000000</v>
      </c>
      <c r="AZ25" s="356" t="n">
        <f aca="true" t="array" ref="AZ25:AZ25">IF(OR($D25&lt;&gt;"Serviço",AND(AUTOEVENTO="Manual",$M25=$A$15),$M25&gt;(ROW(PLE.lastrow)-ROW(PLE.firstrow))),0,
           IF(OFFSET(PLE!$G$15,$M25-$A$15,AZ$13)="",10^12,OFFSET(PLE!$G$15,$M25-$A$15,AZ$13)))</f>
        <v>1000000000000</v>
      </c>
      <c r="BA25" s="356" t="n">
        <f aca="true" t="array" ref="BA25:BA25">IF(OR($D25&lt;&gt;"Serviço",AND(AUTOEVENTO="Manual",$M25=$A$15),$M25&gt;(ROW(PLE.lastrow)-ROW(PLE.firstrow))),0,
           IF(OFFSET(PLE!$G$15,$M25-$A$15,BA$13)="",10^12,OFFSET(PLE!$G$15,$M25-$A$15,BA$13)))</f>
        <v>1000000000000</v>
      </c>
      <c r="BB25" s="356" t="n">
        <f aca="true" t="array" ref="BB25:BB25">IF(OR($D25&lt;&gt;"Serviço",AND(AUTOEVENTO="Manual",$M25=$A$15),$M25&gt;(ROW(PLE.lastrow)-ROW(PLE.firstrow))),0,
           IF(OFFSET(PLE!$G$15,$M25-$A$15,BB$13)="",10^12,OFFSET(PLE!$G$15,$M25-$A$15,BB$13)))</f>
        <v>1000000000000</v>
      </c>
      <c r="BC25" s="356" t="n">
        <f aca="true" t="array" ref="BC25:BC25">IF(OR($D25&lt;&gt;"Serviço",AND(AUTOEVENTO="Manual",$M25=$A$15),$M25&gt;(ROW(PLE.lastrow)-ROW(PLE.firstrow))),0,
           IF(OFFSET(PLE!$G$15,$M25-$A$15,BC$13)="",10^12,OFFSET(PLE!$G$15,$M25-$A$15,BC$13)))</f>
        <v>1000000000000</v>
      </c>
      <c r="BD25" s="356" t="n">
        <f aca="true" t="array" ref="BD25:BD25">IF(OR($D25&lt;&gt;"Serviço",AND(AUTOEVENTO="Manual",$M25=$A$15),$M25&gt;(ROW(PLE.lastrow)-ROW(PLE.firstrow))),0,
           IF(OFFSET(PLE!$G$15,$M25-$A$15,BD$13)="",10^12,OFFSET(PLE!$G$15,$M25-$A$15,BD$13)))</f>
        <v>1000000000000</v>
      </c>
      <c r="BE25" s="356" t="n">
        <f aca="true" t="array" ref="BE25:BE25">IF(OR($D25&lt;&gt;"Serviço",AND(AUTOEVENTO="Manual",$M25=$A$15),$M25&gt;(ROW(PLE.lastrow)-ROW(PLE.firstrow))),0,
           IF(OFFSET(PLE!$G$15,$M25-$A$15,BE$13)="",10^12,OFFSET(PLE!$G$15,$M25-$A$15,BE$13)))</f>
        <v>1000000000000</v>
      </c>
      <c r="BF25" s="356" t="n">
        <f aca="true" t="array" ref="BF25:BF25">IF(OR($D25&lt;&gt;"Serviço",AND(AUTOEVENTO="Manual",$M25=$A$15),$M25&gt;(ROW(PLE.lastrow)-ROW(PLE.firstrow))),0,
           IF(OFFSET(PLE!$G$15,$M25-$A$15,BF$13)="",10^12,OFFSET(PLE!$G$15,$M25-$A$15,BF$13)))</f>
        <v>1000000000000</v>
      </c>
      <c r="BG25" s="356" t="n">
        <f aca="true" t="array" ref="BG25:BG25">IF(OR($D25&lt;&gt;"Serviço",AND(AUTOEVENTO="Manual",$M25=$A$15),$M25&gt;(ROW(PLE.lastrow)-ROW(PLE.firstrow))),0,
           IF(OFFSET(PLE!$G$15,$M25-$A$15,BG$13)="",10^12,OFFSET(PLE!$G$15,$M25-$A$15,BG$13)))</f>
        <v>1000000000000</v>
      </c>
    </row>
    <row r="26" customFormat="false" ht="12.75" hidden="false" customHeight="false" outlineLevel="0" collapsed="false">
      <c r="A26" s="48" t="str">
        <f aca="true">IFERROR(IF(AUTOEVENTO="Manual",IF(K26&lt;&gt;"",MIN(VALUE(LEFT(K26,FIND(".",K26)-1)),COUNTA(EVENTOS.Lista)),0),IF(OR($B26&gt;AUTOEVENTO,$B26="S",$B26=0),SUBSTITUTE(OFFSET($A26,-1,0),IF($D26="Serviço",".",""),""),$L26&amp;".")),0)</f>
        <v>11.</v>
      </c>
      <c r="B26" s="48" t="n">
        <f aca="true">OFFSET(ORÇAMENTO!C$15,$L26,0)</f>
        <v>2</v>
      </c>
      <c r="C26" s="48" t="str">
        <f aca="true">OFFSET(ORÇAMENTO!L$15,$L26,0)</f>
        <v>F</v>
      </c>
      <c r="D26" s="206" t="str">
        <f aca="true">OFFSET(ORÇAMENTO!N$15,$L26,0)</f>
        <v>Nível 2</v>
      </c>
      <c r="E26" s="207" t="str">
        <f aca="true">OFFSET(ORÇAMENTO!O$15,$L26,0)</f>
        <v>1.4.</v>
      </c>
      <c r="F26" s="343" t="str">
        <f aca="true">OFFSET(ORÇAMENTO!R$15,$L26,0)</f>
        <v>REMOÇAO/DEMOLIÇÃO PASSEIO E MEIO FIO EXISTENTE</v>
      </c>
      <c r="G26" s="344" t="str">
        <f aca="true">IF($D26&lt;&gt;"Serviço","",OFFSET(ORÇAMENTO!S$15,$L26,0))</f>
        <v/>
      </c>
      <c r="H26" s="212" t="n">
        <f aca="true" t="array" ref="H26:H26">IF($D26&lt;&gt;"Serviço",0,IF(ACOMPANHAMENTO="BM",ROUND(OFFSET(ORÇAMENTO!AJ$15,$L26,0),15-13*ORÇAMENTO!$AF$7),IF(IFERROR(CÁLCULO.FrentesPreenchidas,0)=0,0,SUM(ROUND(OFFSET($P26,0,1,1,CÁLCULO.FrentesPreenchidas),15-13*ORÇAMENTO!$AF$7)))))</f>
        <v>0</v>
      </c>
      <c r="I26" s="345"/>
      <c r="J26" s="346" t="str">
        <f aca="false" t="array" ref="J26:J26">IF(OR(B26&lt;&gt;"S",CÁLCULO.FrentesPreenchidas=0),"",IF(AND(ACOMPANHAMENTO="PLE",AUTOEVENTO="Manual",OR(H26&gt;0,ORÇAMENTO!AC26="QUANT."),OR(K26="",M26=0,N26="")),"►E",IF(AND(ACOMPANHAMENTO="PLE",ORÇAMENTO!AC26="QUANT."),"►Q",IF(AND(ACOMPANHAMENTO="PLE",H26&lt;&gt;SUMPRODUCT(($Q$1:$AA$1=1)*ROUND(Q26:AA26,15))),"►S",IF(AND(COUNTIF($P$11:$AA$11,"▼")=0,H26&gt;0,I26=""),"◄M","")))))</f>
        <v/>
      </c>
      <c r="K26" s="347"/>
      <c r="L26" s="348" t="n">
        <f aca="true">OFFSET(L26,-1,0)+1</f>
        <v>11</v>
      </c>
      <c r="M26" s="349" t="str">
        <f aca="true">IF($D26&lt;&gt;"Serviço","",
          IF(AUTOEVENTO="manual",$A26,
                IF(ISERROR(MATCH($A26,$A$15:OFFSET($A26,-1,0),0)),MAX($M$15:OFFSET(M26,-1,0))+1,
                      INDEX($M$15:OFFSET(M26,-1,0),MATCH($A26,$A$15:OFFSET($A26,-1,0),0)))))</f>
        <v/>
      </c>
      <c r="N26" s="350" t="str">
        <f aca="true">IF($D26&lt;&gt;"Serviço","",
         IF(AUTOEVENTO="Manual",
                IF($A26=0,"&lt;-- defina o número do agrupador",
                       OFFSET(EVENTOS!$D$15,$A26-$A$15,0)),
                OFFSET($F$15,$A26,0)))</f>
        <v/>
      </c>
      <c r="O26" s="351"/>
      <c r="Q26" s="351"/>
      <c r="R26" s="352"/>
      <c r="S26" s="352"/>
      <c r="T26" s="352"/>
      <c r="U26" s="352"/>
      <c r="V26" s="352"/>
      <c r="W26" s="352"/>
      <c r="X26" s="352"/>
      <c r="Y26" s="352"/>
      <c r="Z26" s="353"/>
      <c r="AB26" s="354" t="n">
        <f aca="true">IF(AND($D26="Serviço",AB$12&lt;&gt;0,$H26&gt;0,OR(AUTOEVENTO&lt;&gt;"manual",$M26&lt;&gt;$A$15)),
        IF(Import.TipoArredondamento&lt;&gt;"TransfereGOV",
              ROUND(OFFSET($P26,0,AB$13),15-13*ORÇAMENTO!$AF$7)/$H26*OFFSET(ORÇAMENTO!$X$15,ROW(AB26)-ROW(AB$15),0),
              ROUND(ROUND(OFFSET($P26,0,AB$13),15-13*ORÇAMENTO!$AF$7)*OFFSET(ORÇAMENTO!$W$15,ROW(AB26)-ROW(AB$15),0),15-13*ORÇAMENTO!$AF$11)),
         0)</f>
        <v>0</v>
      </c>
      <c r="AC26" s="354" t="n">
        <f aca="true">IF(AND($D26="Serviço",AC$12&lt;&gt;0,$H26&gt;0,OR(AUTOEVENTO&lt;&gt;"manual",$M26&lt;&gt;$A$15)),
        IF(Import.TipoArredondamento&lt;&gt;"TransfereGOV",
              ROUND(OFFSET($P26,0,AC$13),15-13*ORÇAMENTO!$AF$7)/$H26*OFFSET(ORÇAMENTO!$X$15,ROW(AC26)-ROW(AC$15),0),
              ROUND(ROUND(OFFSET($P26,0,AC$13),15-13*ORÇAMENTO!$AF$7)*OFFSET(ORÇAMENTO!$W$15,ROW(AC26)-ROW(AC$15),0),15-13*ORÇAMENTO!$AF$11)),
         0)</f>
        <v>0</v>
      </c>
      <c r="AD26" s="354" t="n">
        <f aca="true">IF(AND($D26="Serviço",AD$12&lt;&gt;0,$H26&gt;0,OR(AUTOEVENTO&lt;&gt;"manual",$M26&lt;&gt;$A$15)),
        IF(Import.TipoArredondamento&lt;&gt;"TransfereGOV",
              ROUND(OFFSET($P26,0,AD$13),15-13*ORÇAMENTO!$AF$7)/$H26*OFFSET(ORÇAMENTO!$X$15,ROW(AD26)-ROW(AD$15),0),
              ROUND(ROUND(OFFSET($P26,0,AD$13),15-13*ORÇAMENTO!$AF$7)*OFFSET(ORÇAMENTO!$W$15,ROW(AD26)-ROW(AD$15),0),15-13*ORÇAMENTO!$AF$11)),
         0)</f>
        <v>0</v>
      </c>
      <c r="AE26" s="354" t="n">
        <f aca="true">IF(AND($D26="Serviço",AE$12&lt;&gt;0,$H26&gt;0,OR(AUTOEVENTO&lt;&gt;"manual",$M26&lt;&gt;$A$15)),
        IF(Import.TipoArredondamento&lt;&gt;"TransfereGOV",
              ROUND(OFFSET($P26,0,AE$13),15-13*ORÇAMENTO!$AF$7)/$H26*OFFSET(ORÇAMENTO!$X$15,ROW(AE26)-ROW(AE$15),0),
              ROUND(ROUND(OFFSET($P26,0,AE$13),15-13*ORÇAMENTO!$AF$7)*OFFSET(ORÇAMENTO!$W$15,ROW(AE26)-ROW(AE$15),0),15-13*ORÇAMENTO!$AF$11)),
         0)</f>
        <v>0</v>
      </c>
      <c r="AF26" s="354" t="n">
        <f aca="true">IF(AND($D26="Serviço",AF$12&lt;&gt;0,$H26&gt;0,OR(AUTOEVENTO&lt;&gt;"manual",$M26&lt;&gt;$A$15)),
        IF(Import.TipoArredondamento&lt;&gt;"TransfereGOV",
              ROUND(OFFSET($P26,0,AF$13),15-13*ORÇAMENTO!$AF$7)/$H26*OFFSET(ORÇAMENTO!$X$15,ROW(AF26)-ROW(AF$15),0),
              ROUND(ROUND(OFFSET($P26,0,AF$13),15-13*ORÇAMENTO!$AF$7)*OFFSET(ORÇAMENTO!$W$15,ROW(AF26)-ROW(AF$15),0),15-13*ORÇAMENTO!$AF$11)),
         0)</f>
        <v>0</v>
      </c>
      <c r="AG26" s="354" t="n">
        <f aca="true">IF(AND($D26="Serviço",AG$12&lt;&gt;0,$H26&gt;0,OR(AUTOEVENTO&lt;&gt;"manual",$M26&lt;&gt;$A$15)),
        IF(Import.TipoArredondamento&lt;&gt;"TransfereGOV",
              ROUND(OFFSET($P26,0,AG$13),15-13*ORÇAMENTO!$AF$7)/$H26*OFFSET(ORÇAMENTO!$X$15,ROW(AG26)-ROW(AG$15),0),
              ROUND(ROUND(OFFSET($P26,0,AG$13),15-13*ORÇAMENTO!$AF$7)*OFFSET(ORÇAMENTO!$W$15,ROW(AG26)-ROW(AG$15),0),15-13*ORÇAMENTO!$AF$11)),
         0)</f>
        <v>0</v>
      </c>
      <c r="AH26" s="354" t="n">
        <f aca="true">IF(AND($D26="Serviço",AH$12&lt;&gt;0,$H26&gt;0,OR(AUTOEVENTO&lt;&gt;"manual",$M26&lt;&gt;$A$15)),
        IF(Import.TipoArredondamento&lt;&gt;"TransfereGOV",
              ROUND(OFFSET($P26,0,AH$13),15-13*ORÇAMENTO!$AF$7)/$H26*OFFSET(ORÇAMENTO!$X$15,ROW(AH26)-ROW(AH$15),0),
              ROUND(ROUND(OFFSET($P26,0,AH$13),15-13*ORÇAMENTO!$AF$7)*OFFSET(ORÇAMENTO!$W$15,ROW(AH26)-ROW(AH$15),0),15-13*ORÇAMENTO!$AF$11)),
         0)</f>
        <v>0</v>
      </c>
      <c r="AI26" s="354" t="n">
        <f aca="true">IF(AND($D26="Serviço",AI$12&lt;&gt;0,$H26&gt;0,OR(AUTOEVENTO&lt;&gt;"manual",$M26&lt;&gt;$A$15)),
        IF(Import.TipoArredondamento&lt;&gt;"TransfereGOV",
              ROUND(OFFSET($P26,0,AI$13),15-13*ORÇAMENTO!$AF$7)/$H26*OFFSET(ORÇAMENTO!$X$15,ROW(AI26)-ROW(AI$15),0),
              ROUND(ROUND(OFFSET($P26,0,AI$13),15-13*ORÇAMENTO!$AF$7)*OFFSET(ORÇAMENTO!$W$15,ROW(AI26)-ROW(AI$15),0),15-13*ORÇAMENTO!$AF$11)),
         0)</f>
        <v>0</v>
      </c>
      <c r="AJ26" s="354" t="n">
        <f aca="true">IF(AND($D26="Serviço",AJ$12&lt;&gt;0,$H26&gt;0,OR(AUTOEVENTO&lt;&gt;"manual",$M26&lt;&gt;$A$15)),
        IF(Import.TipoArredondamento&lt;&gt;"TransfereGOV",
              ROUND(OFFSET($P26,0,AJ$13),15-13*ORÇAMENTO!$AF$7)/$H26*OFFSET(ORÇAMENTO!$X$15,ROW(AJ26)-ROW(AJ$15),0),
              ROUND(ROUND(OFFSET($P26,0,AJ$13),15-13*ORÇAMENTO!$AF$7)*OFFSET(ORÇAMENTO!$W$15,ROW(AJ26)-ROW(AJ$15),0),15-13*ORÇAMENTO!$AF$11)),
         0)</f>
        <v>0</v>
      </c>
      <c r="AK26" s="354" t="n">
        <f aca="true">IF(AND($D26="Serviço",AK$12&lt;&gt;0,$H26&gt;0,OR(AUTOEVENTO&lt;&gt;"manual",$M26&lt;&gt;$A$15)),
        IF(Import.TipoArredondamento&lt;&gt;"TransfereGOV",
              ROUND(OFFSET($P26,0,AK$13),15-13*ORÇAMENTO!$AF$7)/$H26*OFFSET(ORÇAMENTO!$X$15,ROW(AK26)-ROW(AK$15),0),
              ROUND(ROUND(OFFSET($P26,0,AK$13),15-13*ORÇAMENTO!$AF$7)*OFFSET(ORÇAMENTO!$W$15,ROW(AK26)-ROW(AK$15),0),15-13*ORÇAMENTO!$AF$11)),
         0)</f>
        <v>0</v>
      </c>
      <c r="AM26" s="355" t="n">
        <f aca="true">IF(OR($D26&lt;&gt;"Serviço",AND(AUTOEVENTO="Manual",$M26=$A$15)),0,
         IF(OFFSET(CRONOPLE!$F$15,$M26-$A$15,AM$13)=0,10^12,OFFSET(CRONOPLE!$F$15,$M26-$A$15,AM$13)))</f>
        <v>0</v>
      </c>
      <c r="AN26" s="355" t="n">
        <f aca="true">IF(OR($D26&lt;&gt;"Serviço",AND(AUTOEVENTO="Manual",$M26=$A$15)),0,
         IF(OFFSET(CRONOPLE!$F$15,$M26-$A$15,AN$13)=0,10^12,OFFSET(CRONOPLE!$F$15,$M26-$A$15,AN$13)))</f>
        <v>0</v>
      </c>
      <c r="AO26" s="355" t="n">
        <f aca="true">IF(OR($D26&lt;&gt;"Serviço",AND(AUTOEVENTO="Manual",$M26=$A$15)),0,
         IF(OFFSET(CRONOPLE!$F$15,$M26-$A$15,AO$13)=0,10^12,OFFSET(CRONOPLE!$F$15,$M26-$A$15,AO$13)))</f>
        <v>0</v>
      </c>
      <c r="AP26" s="355" t="n">
        <f aca="true">IF(OR($D26&lt;&gt;"Serviço",AND(AUTOEVENTO="Manual",$M26=$A$15)),0,
         IF(OFFSET(CRONOPLE!$F$15,$M26-$A$15,AP$13)=0,10^12,OFFSET(CRONOPLE!$F$15,$M26-$A$15,AP$13)))</f>
        <v>0</v>
      </c>
      <c r="AQ26" s="355" t="n">
        <f aca="true">IF(OR($D26&lt;&gt;"Serviço",AND(AUTOEVENTO="Manual",$M26=$A$15)),0,
         IF(OFFSET(CRONOPLE!$F$15,$M26-$A$15,AQ$13)=0,10^12,OFFSET(CRONOPLE!$F$15,$M26-$A$15,AQ$13)))</f>
        <v>0</v>
      </c>
      <c r="AR26" s="355" t="n">
        <f aca="true">IF(OR($D26&lt;&gt;"Serviço",AND(AUTOEVENTO="Manual",$M26=$A$15)),0,
         IF(OFFSET(CRONOPLE!$F$15,$M26-$A$15,AR$13)=0,10^12,OFFSET(CRONOPLE!$F$15,$M26-$A$15,AR$13)))</f>
        <v>0</v>
      </c>
      <c r="AS26" s="355" t="n">
        <f aca="true">IF(OR($D26&lt;&gt;"Serviço",AND(AUTOEVENTO="Manual",$M26=$A$15)),0,
         IF(OFFSET(CRONOPLE!$F$15,$M26-$A$15,AS$13)=0,10^12,OFFSET(CRONOPLE!$F$15,$M26-$A$15,AS$13)))</f>
        <v>0</v>
      </c>
      <c r="AT26" s="355" t="n">
        <f aca="true">IF(OR($D26&lt;&gt;"Serviço",AND(AUTOEVENTO="Manual",$M26=$A$15)),0,
         IF(OFFSET(CRONOPLE!$F$15,$M26-$A$15,AT$13)=0,10^12,OFFSET(CRONOPLE!$F$15,$M26-$A$15,AT$13)))</f>
        <v>0</v>
      </c>
      <c r="AU26" s="355" t="n">
        <f aca="true">IF(OR($D26&lt;&gt;"Serviço",AND(AUTOEVENTO="Manual",$M26=$A$15)),0,
         IF(OFFSET(CRONOPLE!$F$15,$M26-$A$15,AU$13)=0,10^12,OFFSET(CRONOPLE!$F$15,$M26-$A$15,AU$13)))</f>
        <v>0</v>
      </c>
      <c r="AV26" s="355" t="n">
        <f aca="true">IF(OR($D26&lt;&gt;"Serviço",AND(AUTOEVENTO="Manual",$M26=$A$15)),0,
         IF(OFFSET(CRONOPLE!$F$15,$M26-$A$15,AV$13)=0,10^12,OFFSET(CRONOPLE!$F$15,$M26-$A$15,AV$13)))</f>
        <v>0</v>
      </c>
      <c r="AX26" s="356" t="n">
        <f aca="true" t="array" ref="AX26:AX26">IF(OR($D26&lt;&gt;"Serviço",AND(AUTOEVENTO="Manual",$M26=$A$15),$M26&gt;(ROW(PLE.lastrow)-ROW(PLE.firstrow))),0,
           IF(OFFSET(PLE!$G$15,$M26-$A$15,AX$13)="",10^12,OFFSET(PLE!$G$15,$M26-$A$15,AX$13)))</f>
        <v>0</v>
      </c>
      <c r="AY26" s="356" t="n">
        <f aca="true" t="array" ref="AY26:AY26">IF(OR($D26&lt;&gt;"Serviço",AND(AUTOEVENTO="Manual",$M26=$A$15),$M26&gt;(ROW(PLE.lastrow)-ROW(PLE.firstrow))),0,
           IF(OFFSET(PLE!$G$15,$M26-$A$15,AY$13)="",10^12,OFFSET(PLE!$G$15,$M26-$A$15,AY$13)))</f>
        <v>0</v>
      </c>
      <c r="AZ26" s="356" t="n">
        <f aca="true" t="array" ref="AZ26:AZ26">IF(OR($D26&lt;&gt;"Serviço",AND(AUTOEVENTO="Manual",$M26=$A$15),$M26&gt;(ROW(PLE.lastrow)-ROW(PLE.firstrow))),0,
           IF(OFFSET(PLE!$G$15,$M26-$A$15,AZ$13)="",10^12,OFFSET(PLE!$G$15,$M26-$A$15,AZ$13)))</f>
        <v>0</v>
      </c>
      <c r="BA26" s="356" t="n">
        <f aca="true" t="array" ref="BA26:BA26">IF(OR($D26&lt;&gt;"Serviço",AND(AUTOEVENTO="Manual",$M26=$A$15),$M26&gt;(ROW(PLE.lastrow)-ROW(PLE.firstrow))),0,
           IF(OFFSET(PLE!$G$15,$M26-$A$15,BA$13)="",10^12,OFFSET(PLE!$G$15,$M26-$A$15,BA$13)))</f>
        <v>0</v>
      </c>
      <c r="BB26" s="356" t="n">
        <f aca="true" t="array" ref="BB26:BB26">IF(OR($D26&lt;&gt;"Serviço",AND(AUTOEVENTO="Manual",$M26=$A$15),$M26&gt;(ROW(PLE.lastrow)-ROW(PLE.firstrow))),0,
           IF(OFFSET(PLE!$G$15,$M26-$A$15,BB$13)="",10^12,OFFSET(PLE!$G$15,$M26-$A$15,BB$13)))</f>
        <v>0</v>
      </c>
      <c r="BC26" s="356" t="n">
        <f aca="true" t="array" ref="BC26:BC26">IF(OR($D26&lt;&gt;"Serviço",AND(AUTOEVENTO="Manual",$M26=$A$15),$M26&gt;(ROW(PLE.lastrow)-ROW(PLE.firstrow))),0,
           IF(OFFSET(PLE!$G$15,$M26-$A$15,BC$13)="",10^12,OFFSET(PLE!$G$15,$M26-$A$15,BC$13)))</f>
        <v>0</v>
      </c>
      <c r="BD26" s="356" t="n">
        <f aca="true" t="array" ref="BD26:BD26">IF(OR($D26&lt;&gt;"Serviço",AND(AUTOEVENTO="Manual",$M26=$A$15),$M26&gt;(ROW(PLE.lastrow)-ROW(PLE.firstrow))),0,
           IF(OFFSET(PLE!$G$15,$M26-$A$15,BD$13)="",10^12,OFFSET(PLE!$G$15,$M26-$A$15,BD$13)))</f>
        <v>0</v>
      </c>
      <c r="BE26" s="356" t="n">
        <f aca="true" t="array" ref="BE26:BE26">IF(OR($D26&lt;&gt;"Serviço",AND(AUTOEVENTO="Manual",$M26=$A$15),$M26&gt;(ROW(PLE.lastrow)-ROW(PLE.firstrow))),0,
           IF(OFFSET(PLE!$G$15,$M26-$A$15,BE$13)="",10^12,OFFSET(PLE!$G$15,$M26-$A$15,BE$13)))</f>
        <v>0</v>
      </c>
      <c r="BF26" s="356" t="n">
        <f aca="true" t="array" ref="BF26:BF26">IF(OR($D26&lt;&gt;"Serviço",AND(AUTOEVENTO="Manual",$M26=$A$15),$M26&gt;(ROW(PLE.lastrow)-ROW(PLE.firstrow))),0,
           IF(OFFSET(PLE!$G$15,$M26-$A$15,BF$13)="",10^12,OFFSET(PLE!$G$15,$M26-$A$15,BF$13)))</f>
        <v>0</v>
      </c>
      <c r="BG26" s="356" t="n">
        <f aca="true" t="array" ref="BG26:BG26">IF(OR($D26&lt;&gt;"Serviço",AND(AUTOEVENTO="Manual",$M26=$A$15),$M26&gt;(ROW(PLE.lastrow)-ROW(PLE.firstrow))),0,
           IF(OFFSET(PLE!$G$15,$M26-$A$15,BG$13)="",10^12,OFFSET(PLE!$G$15,$M26-$A$15,BG$13)))</f>
        <v>0</v>
      </c>
    </row>
    <row r="27" customFormat="false" ht="23.85" hidden="false" customHeight="false" outlineLevel="0" collapsed="false">
      <c r="A27" s="48" t="str">
        <f aca="true">IFERROR(IF(AUTOEVENTO="Manual",IF(K27&lt;&gt;"",MIN(VALUE(LEFT(K27,FIND(".",K27)-1)),COUNTA(EVENTOS.Lista)),0),IF(OR($B27&gt;AUTOEVENTO,$B27="S",$B27=0),SUBSTITUTE(OFFSET($A27,-1,0),IF($D27="Serviço",".",""),""),$L27&amp;".")),0)</f>
        <v>11</v>
      </c>
      <c r="B27" s="48" t="str">
        <f aca="true">OFFSET(ORÇAMENTO!C$15,$L27,0)</f>
        <v>S</v>
      </c>
      <c r="C27" s="48" t="str">
        <f aca="true">OFFSET(ORÇAMENTO!L$15,$L27,0)</f>
        <v/>
      </c>
      <c r="D27" s="206" t="str">
        <f aca="true">OFFSET(ORÇAMENTO!N$15,$L27,0)</f>
        <v>Serviço</v>
      </c>
      <c r="E27" s="207" t="str">
        <f aca="true">OFFSET(ORÇAMENTO!O$15,$L27,0)</f>
        <v>-</v>
      </c>
      <c r="F27" s="343" t="str">
        <f aca="true">OFFSET(ORÇAMENTO!R$15,$L27,0)</f>
        <v>(Código não identificado nas referências)</v>
      </c>
      <c r="G27" s="344" t="str">
        <f aca="true">IF($D27&lt;&gt;"Serviço","",OFFSET(ORÇAMENTO!S$15,$L27,0))</f>
        <v>-</v>
      </c>
      <c r="H27" s="212" t="n">
        <f aca="true" t="array" ref="H27:H27">IF($D27&lt;&gt;"Serviço",0,IF(ACOMPANHAMENTO="BM",ROUND(OFFSET(ORÇAMENTO!AJ$15,$L27,0),15-13*ORÇAMENTO!$AF$7),IF(IFERROR(CÁLCULO.FrentesPreenchidas,0)=0,0,SUM(ROUND(OFFSET($P27,0,1,1,CÁLCULO.FrentesPreenchidas),15-13*ORÇAMENTO!$AF$7)))))</f>
        <v>1634.57</v>
      </c>
      <c r="I27" s="345" t="s">
        <v>898</v>
      </c>
      <c r="J27" s="346" t="str">
        <f aca="false" t="array" ref="J27:J27">IF(OR(B27&lt;&gt;"S",CÁLCULO.FrentesPreenchidas=0),"",IF(AND(ACOMPANHAMENTO="PLE",AUTOEVENTO="Manual",OR(H27&gt;0,ORÇAMENTO!AC27="QUANT."),OR(K27="",M27=0,N27="")),"►E",IF(AND(ACOMPANHAMENTO="PLE",ORÇAMENTO!AC27="QUANT."),"►Q",IF(AND(ACOMPANHAMENTO="PLE",H27&lt;&gt;SUMPRODUCT(($Q$1:$AA$1=1)*ROUND(Q27:AA27,15))),"►S",IF(AND(COUNTIF($P$11:$AA$11,"▼")=0,H27&gt;0,I27=""),"◄M","")))))</f>
        <v/>
      </c>
      <c r="K27" s="347"/>
      <c r="L27" s="348" t="n">
        <f aca="true">OFFSET(L27,-1,0)+1</f>
        <v>12</v>
      </c>
      <c r="M27" s="349" t="n">
        <f aca="true">IF($D27&lt;&gt;"Serviço","",
          IF(AUTOEVENTO="manual",$A27,
                IF(ISERROR(MATCH($A27,$A$15:OFFSET($A27,-1,0),0)),MAX($M$15:OFFSET(M27,-1,0))+1,
                      INDEX($M$15:OFFSET(M27,-1,0),MATCH($A27,$A$15:OFFSET($A27,-1,0),0)))))</f>
        <v>4</v>
      </c>
      <c r="N27" s="350" t="str">
        <f aca="true">IF($D27&lt;&gt;"Serviço","",
         IF(AUTOEVENTO="Manual",
                IF($A27=0,"&lt;-- defina o número do agrupador",
                       OFFSET(EVENTOS!$D$15,$A27-$A$15,0)),
                OFFSET($F$15,$A27,0)))</f>
        <v>REMOÇAO/DEMOLIÇÃO PASSEIO E MEIO FIO EXISTENTE</v>
      </c>
      <c r="O27" s="351"/>
      <c r="Q27" s="351"/>
      <c r="R27" s="352"/>
      <c r="S27" s="352"/>
      <c r="T27" s="352"/>
      <c r="U27" s="352"/>
      <c r="V27" s="352"/>
      <c r="W27" s="352"/>
      <c r="X27" s="352"/>
      <c r="Y27" s="352"/>
      <c r="Z27" s="353"/>
      <c r="AB27" s="354" t="n">
        <f aca="true">IF(AND($D27="Serviço",AB$12&lt;&gt;0,$H27&gt;0,OR(AUTOEVENTO&lt;&gt;"manual",$M27&lt;&gt;$A$15)),
        IF(Import.TipoArredondamento&lt;&gt;"TransfereGOV",
              ROUND(OFFSET($P27,0,AB$13),15-13*ORÇAMENTO!$AF$7)/$H27*OFFSET(ORÇAMENTO!$X$15,ROW(AB27)-ROW(AB$15),0),
              ROUND(ROUND(OFFSET($P27,0,AB$13),15-13*ORÇAMENTO!$AF$7)*OFFSET(ORÇAMENTO!$W$15,ROW(AB27)-ROW(AB$15),0),15-13*ORÇAMENTO!$AF$11)),
         0)</f>
        <v>0</v>
      </c>
      <c r="AC27" s="354" t="n">
        <f aca="true">IF(AND($D27="Serviço",AC$12&lt;&gt;0,$H27&gt;0,OR(AUTOEVENTO&lt;&gt;"manual",$M27&lt;&gt;$A$15)),
        IF(Import.TipoArredondamento&lt;&gt;"TransfereGOV",
              ROUND(OFFSET($P27,0,AC$13),15-13*ORÇAMENTO!$AF$7)/$H27*OFFSET(ORÇAMENTO!$X$15,ROW(AC27)-ROW(AC$15),0),
              ROUND(ROUND(OFFSET($P27,0,AC$13),15-13*ORÇAMENTO!$AF$7)*OFFSET(ORÇAMENTO!$W$15,ROW(AC27)-ROW(AC$15),0),15-13*ORÇAMENTO!$AF$11)),
         0)</f>
        <v>0</v>
      </c>
      <c r="AD27" s="354" t="n">
        <f aca="true">IF(AND($D27="Serviço",AD$12&lt;&gt;0,$H27&gt;0,OR(AUTOEVENTO&lt;&gt;"manual",$M27&lt;&gt;$A$15)),
        IF(Import.TipoArredondamento&lt;&gt;"TransfereGOV",
              ROUND(OFFSET($P27,0,AD$13),15-13*ORÇAMENTO!$AF$7)/$H27*OFFSET(ORÇAMENTO!$X$15,ROW(AD27)-ROW(AD$15),0),
              ROUND(ROUND(OFFSET($P27,0,AD$13),15-13*ORÇAMENTO!$AF$7)*OFFSET(ORÇAMENTO!$W$15,ROW(AD27)-ROW(AD$15),0),15-13*ORÇAMENTO!$AF$11)),
         0)</f>
        <v>0</v>
      </c>
      <c r="AE27" s="354" t="n">
        <f aca="true">IF(AND($D27="Serviço",AE$12&lt;&gt;0,$H27&gt;0,OR(AUTOEVENTO&lt;&gt;"manual",$M27&lt;&gt;$A$15)),
        IF(Import.TipoArredondamento&lt;&gt;"TransfereGOV",
              ROUND(OFFSET($P27,0,AE$13),15-13*ORÇAMENTO!$AF$7)/$H27*OFFSET(ORÇAMENTO!$X$15,ROW(AE27)-ROW(AE$15),0),
              ROUND(ROUND(OFFSET($P27,0,AE$13),15-13*ORÇAMENTO!$AF$7)*OFFSET(ORÇAMENTO!$W$15,ROW(AE27)-ROW(AE$15),0),15-13*ORÇAMENTO!$AF$11)),
         0)</f>
        <v>0</v>
      </c>
      <c r="AF27" s="354" t="n">
        <f aca="true">IF(AND($D27="Serviço",AF$12&lt;&gt;0,$H27&gt;0,OR(AUTOEVENTO&lt;&gt;"manual",$M27&lt;&gt;$A$15)),
        IF(Import.TipoArredondamento&lt;&gt;"TransfereGOV",
              ROUND(OFFSET($P27,0,AF$13),15-13*ORÇAMENTO!$AF$7)/$H27*OFFSET(ORÇAMENTO!$X$15,ROW(AF27)-ROW(AF$15),0),
              ROUND(ROUND(OFFSET($P27,0,AF$13),15-13*ORÇAMENTO!$AF$7)*OFFSET(ORÇAMENTO!$W$15,ROW(AF27)-ROW(AF$15),0),15-13*ORÇAMENTO!$AF$11)),
         0)</f>
        <v>0</v>
      </c>
      <c r="AG27" s="354" t="n">
        <f aca="true">IF(AND($D27="Serviço",AG$12&lt;&gt;0,$H27&gt;0,OR(AUTOEVENTO&lt;&gt;"manual",$M27&lt;&gt;$A$15)),
        IF(Import.TipoArredondamento&lt;&gt;"TransfereGOV",
              ROUND(OFFSET($P27,0,AG$13),15-13*ORÇAMENTO!$AF$7)/$H27*OFFSET(ORÇAMENTO!$X$15,ROW(AG27)-ROW(AG$15),0),
              ROUND(ROUND(OFFSET($P27,0,AG$13),15-13*ORÇAMENTO!$AF$7)*OFFSET(ORÇAMENTO!$W$15,ROW(AG27)-ROW(AG$15),0),15-13*ORÇAMENTO!$AF$11)),
         0)</f>
        <v>0</v>
      </c>
      <c r="AH27" s="354" t="n">
        <f aca="true">IF(AND($D27="Serviço",AH$12&lt;&gt;0,$H27&gt;0,OR(AUTOEVENTO&lt;&gt;"manual",$M27&lt;&gt;$A$15)),
        IF(Import.TipoArredondamento&lt;&gt;"TransfereGOV",
              ROUND(OFFSET($P27,0,AH$13),15-13*ORÇAMENTO!$AF$7)/$H27*OFFSET(ORÇAMENTO!$X$15,ROW(AH27)-ROW(AH$15),0),
              ROUND(ROUND(OFFSET($P27,0,AH$13),15-13*ORÇAMENTO!$AF$7)*OFFSET(ORÇAMENTO!$W$15,ROW(AH27)-ROW(AH$15),0),15-13*ORÇAMENTO!$AF$11)),
         0)</f>
        <v>0</v>
      </c>
      <c r="AI27" s="354" t="n">
        <f aca="true">IF(AND($D27="Serviço",AI$12&lt;&gt;0,$H27&gt;0,OR(AUTOEVENTO&lt;&gt;"manual",$M27&lt;&gt;$A$15)),
        IF(Import.TipoArredondamento&lt;&gt;"TransfereGOV",
              ROUND(OFFSET($P27,0,AI$13),15-13*ORÇAMENTO!$AF$7)/$H27*OFFSET(ORÇAMENTO!$X$15,ROW(AI27)-ROW(AI$15),0),
              ROUND(ROUND(OFFSET($P27,0,AI$13),15-13*ORÇAMENTO!$AF$7)*OFFSET(ORÇAMENTO!$W$15,ROW(AI27)-ROW(AI$15),0),15-13*ORÇAMENTO!$AF$11)),
         0)</f>
        <v>0</v>
      </c>
      <c r="AJ27" s="354" t="n">
        <f aca="true">IF(AND($D27="Serviço",AJ$12&lt;&gt;0,$H27&gt;0,OR(AUTOEVENTO&lt;&gt;"manual",$M27&lt;&gt;$A$15)),
        IF(Import.TipoArredondamento&lt;&gt;"TransfereGOV",
              ROUND(OFFSET($P27,0,AJ$13),15-13*ORÇAMENTO!$AF$7)/$H27*OFFSET(ORÇAMENTO!$X$15,ROW(AJ27)-ROW(AJ$15),0),
              ROUND(ROUND(OFFSET($P27,0,AJ$13),15-13*ORÇAMENTO!$AF$7)*OFFSET(ORÇAMENTO!$W$15,ROW(AJ27)-ROW(AJ$15),0),15-13*ORÇAMENTO!$AF$11)),
         0)</f>
        <v>0</v>
      </c>
      <c r="AK27" s="354" t="n">
        <f aca="true">IF(AND($D27="Serviço",AK$12&lt;&gt;0,$H27&gt;0,OR(AUTOEVENTO&lt;&gt;"manual",$M27&lt;&gt;$A$15)),
        IF(Import.TipoArredondamento&lt;&gt;"TransfereGOV",
              ROUND(OFFSET($P27,0,AK$13),15-13*ORÇAMENTO!$AF$7)/$H27*OFFSET(ORÇAMENTO!$X$15,ROW(AK27)-ROW(AK$15),0),
              ROUND(ROUND(OFFSET($P27,0,AK$13),15-13*ORÇAMENTO!$AF$7)*OFFSET(ORÇAMENTO!$W$15,ROW(AK27)-ROW(AK$15),0),15-13*ORÇAMENTO!$AF$11)),
         0)</f>
        <v>0</v>
      </c>
      <c r="AM27" s="355" t="n">
        <f aca="true">IF(OR($D27&lt;&gt;"Serviço",AND(AUTOEVENTO="Manual",$M27=$A$15)),0,
         IF(OFFSET(CRONOPLE!$F$15,$M27-$A$15,AM$13)=0,10^12,OFFSET(CRONOPLE!$F$15,$M27-$A$15,AM$13)))</f>
        <v>1000000000000</v>
      </c>
      <c r="AN27" s="355" t="n">
        <f aca="true">IF(OR($D27&lt;&gt;"Serviço",AND(AUTOEVENTO="Manual",$M27=$A$15)),0,
         IF(OFFSET(CRONOPLE!$F$15,$M27-$A$15,AN$13)=0,10^12,OFFSET(CRONOPLE!$F$15,$M27-$A$15,AN$13)))</f>
        <v>1000000000000</v>
      </c>
      <c r="AO27" s="355" t="n">
        <f aca="true">IF(OR($D27&lt;&gt;"Serviço",AND(AUTOEVENTO="Manual",$M27=$A$15)),0,
         IF(OFFSET(CRONOPLE!$F$15,$M27-$A$15,AO$13)=0,10^12,OFFSET(CRONOPLE!$F$15,$M27-$A$15,AO$13)))</f>
        <v>1000000000000</v>
      </c>
      <c r="AP27" s="355" t="n">
        <f aca="true">IF(OR($D27&lt;&gt;"Serviço",AND(AUTOEVENTO="Manual",$M27=$A$15)),0,
         IF(OFFSET(CRONOPLE!$F$15,$M27-$A$15,AP$13)=0,10^12,OFFSET(CRONOPLE!$F$15,$M27-$A$15,AP$13)))</f>
        <v>1000000000000</v>
      </c>
      <c r="AQ27" s="355" t="n">
        <f aca="true">IF(OR($D27&lt;&gt;"Serviço",AND(AUTOEVENTO="Manual",$M27=$A$15)),0,
         IF(OFFSET(CRONOPLE!$F$15,$M27-$A$15,AQ$13)=0,10^12,OFFSET(CRONOPLE!$F$15,$M27-$A$15,AQ$13)))</f>
        <v>1000000000000</v>
      </c>
      <c r="AR27" s="355" t="n">
        <f aca="true">IF(OR($D27&lt;&gt;"Serviço",AND(AUTOEVENTO="Manual",$M27=$A$15)),0,
         IF(OFFSET(CRONOPLE!$F$15,$M27-$A$15,AR$13)=0,10^12,OFFSET(CRONOPLE!$F$15,$M27-$A$15,AR$13)))</f>
        <v>1000000000000</v>
      </c>
      <c r="AS27" s="355" t="n">
        <f aca="true">IF(OR($D27&lt;&gt;"Serviço",AND(AUTOEVENTO="Manual",$M27=$A$15)),0,
         IF(OFFSET(CRONOPLE!$F$15,$M27-$A$15,AS$13)=0,10^12,OFFSET(CRONOPLE!$F$15,$M27-$A$15,AS$13)))</f>
        <v>1000000000000</v>
      </c>
      <c r="AT27" s="355" t="n">
        <f aca="true">IF(OR($D27&lt;&gt;"Serviço",AND(AUTOEVENTO="Manual",$M27=$A$15)),0,
         IF(OFFSET(CRONOPLE!$F$15,$M27-$A$15,AT$13)=0,10^12,OFFSET(CRONOPLE!$F$15,$M27-$A$15,AT$13)))</f>
        <v>1000000000000</v>
      </c>
      <c r="AU27" s="355" t="n">
        <f aca="true">IF(OR($D27&lt;&gt;"Serviço",AND(AUTOEVENTO="Manual",$M27=$A$15)),0,
         IF(OFFSET(CRONOPLE!$F$15,$M27-$A$15,AU$13)=0,10^12,OFFSET(CRONOPLE!$F$15,$M27-$A$15,AU$13)))</f>
        <v>1000000000000</v>
      </c>
      <c r="AV27" s="355" t="n">
        <f aca="true">IF(OR($D27&lt;&gt;"Serviço",AND(AUTOEVENTO="Manual",$M27=$A$15)),0,
         IF(OFFSET(CRONOPLE!$F$15,$M27-$A$15,AV$13)=0,10^12,OFFSET(CRONOPLE!$F$15,$M27-$A$15,AV$13)))</f>
        <v>1000000000000</v>
      </c>
      <c r="AX27" s="356" t="n">
        <f aca="true" t="array" ref="AX27:AX27">IF(OR($D27&lt;&gt;"Serviço",AND(AUTOEVENTO="Manual",$M27=$A$15),$M27&gt;(ROW(PLE.lastrow)-ROW(PLE.firstrow))),0,
           IF(OFFSET(PLE!$G$15,$M27-$A$15,AX$13)="",10^12,OFFSET(PLE!$G$15,$M27-$A$15,AX$13)))</f>
        <v>1000000000000</v>
      </c>
      <c r="AY27" s="356" t="n">
        <f aca="true" t="array" ref="AY27:AY27">IF(OR($D27&lt;&gt;"Serviço",AND(AUTOEVENTO="Manual",$M27=$A$15),$M27&gt;(ROW(PLE.lastrow)-ROW(PLE.firstrow))),0,
           IF(OFFSET(PLE!$G$15,$M27-$A$15,AY$13)="",10^12,OFFSET(PLE!$G$15,$M27-$A$15,AY$13)))</f>
        <v>1000000000000</v>
      </c>
      <c r="AZ27" s="356" t="n">
        <f aca="true" t="array" ref="AZ27:AZ27">IF(OR($D27&lt;&gt;"Serviço",AND(AUTOEVENTO="Manual",$M27=$A$15),$M27&gt;(ROW(PLE.lastrow)-ROW(PLE.firstrow))),0,
           IF(OFFSET(PLE!$G$15,$M27-$A$15,AZ$13)="",10^12,OFFSET(PLE!$G$15,$M27-$A$15,AZ$13)))</f>
        <v>1000000000000</v>
      </c>
      <c r="BA27" s="356" t="n">
        <f aca="true" t="array" ref="BA27:BA27">IF(OR($D27&lt;&gt;"Serviço",AND(AUTOEVENTO="Manual",$M27=$A$15),$M27&gt;(ROW(PLE.lastrow)-ROW(PLE.firstrow))),0,
           IF(OFFSET(PLE!$G$15,$M27-$A$15,BA$13)="",10^12,OFFSET(PLE!$G$15,$M27-$A$15,BA$13)))</f>
        <v>1000000000000</v>
      </c>
      <c r="BB27" s="356" t="n">
        <f aca="true" t="array" ref="BB27:BB27">IF(OR($D27&lt;&gt;"Serviço",AND(AUTOEVENTO="Manual",$M27=$A$15),$M27&gt;(ROW(PLE.lastrow)-ROW(PLE.firstrow))),0,
           IF(OFFSET(PLE!$G$15,$M27-$A$15,BB$13)="",10^12,OFFSET(PLE!$G$15,$M27-$A$15,BB$13)))</f>
        <v>1000000000000</v>
      </c>
      <c r="BC27" s="356" t="n">
        <f aca="true" t="array" ref="BC27:BC27">IF(OR($D27&lt;&gt;"Serviço",AND(AUTOEVENTO="Manual",$M27=$A$15),$M27&gt;(ROW(PLE.lastrow)-ROW(PLE.firstrow))),0,
           IF(OFFSET(PLE!$G$15,$M27-$A$15,BC$13)="",10^12,OFFSET(PLE!$G$15,$M27-$A$15,BC$13)))</f>
        <v>1000000000000</v>
      </c>
      <c r="BD27" s="356" t="n">
        <f aca="true" t="array" ref="BD27:BD27">IF(OR($D27&lt;&gt;"Serviço",AND(AUTOEVENTO="Manual",$M27=$A$15),$M27&gt;(ROW(PLE.lastrow)-ROW(PLE.firstrow))),0,
           IF(OFFSET(PLE!$G$15,$M27-$A$15,BD$13)="",10^12,OFFSET(PLE!$G$15,$M27-$A$15,BD$13)))</f>
        <v>1000000000000</v>
      </c>
      <c r="BE27" s="356" t="n">
        <f aca="true" t="array" ref="BE27:BE27">IF(OR($D27&lt;&gt;"Serviço",AND(AUTOEVENTO="Manual",$M27=$A$15),$M27&gt;(ROW(PLE.lastrow)-ROW(PLE.firstrow))),0,
           IF(OFFSET(PLE!$G$15,$M27-$A$15,BE$13)="",10^12,OFFSET(PLE!$G$15,$M27-$A$15,BE$13)))</f>
        <v>1000000000000</v>
      </c>
      <c r="BF27" s="356" t="n">
        <f aca="true" t="array" ref="BF27:BF27">IF(OR($D27&lt;&gt;"Serviço",AND(AUTOEVENTO="Manual",$M27=$A$15),$M27&gt;(ROW(PLE.lastrow)-ROW(PLE.firstrow))),0,
           IF(OFFSET(PLE!$G$15,$M27-$A$15,BF$13)="",10^12,OFFSET(PLE!$G$15,$M27-$A$15,BF$13)))</f>
        <v>1000000000000</v>
      </c>
      <c r="BG27" s="356" t="n">
        <f aca="true" t="array" ref="BG27:BG27">IF(OR($D27&lt;&gt;"Serviço",AND(AUTOEVENTO="Manual",$M27=$A$15),$M27&gt;(ROW(PLE.lastrow)-ROW(PLE.firstrow))),0,
           IF(OFFSET(PLE!$G$15,$M27-$A$15,BG$13)="",10^12,OFFSET(PLE!$G$15,$M27-$A$15,BG$13)))</f>
        <v>1000000000000</v>
      </c>
    </row>
    <row r="28" customFormat="false" ht="12.75" hidden="false" customHeight="false" outlineLevel="0" collapsed="false">
      <c r="A28" s="48" t="str">
        <f aca="true">IFERROR(IF(AUTOEVENTO="Manual",IF(K28&lt;&gt;"",MIN(VALUE(LEFT(K28,FIND(".",K28)-1)),COUNTA(EVENTOS.Lista)),0),IF(OR($B28&gt;AUTOEVENTO,$B28="S",$B28=0),SUBSTITUTE(OFFSET($A28,-1,0),IF($D28="Serviço",".",""),""),$L28&amp;".")),0)</f>
        <v>13.</v>
      </c>
      <c r="B28" s="48" t="n">
        <f aca="true">OFFSET(ORÇAMENTO!C$15,$L28,0)</f>
        <v>2</v>
      </c>
      <c r="C28" s="48" t="str">
        <f aca="true">OFFSET(ORÇAMENTO!L$15,$L28,0)</f>
        <v>F</v>
      </c>
      <c r="D28" s="206" t="str">
        <f aca="true">OFFSET(ORÇAMENTO!N$15,$L28,0)</f>
        <v>Nível 2</v>
      </c>
      <c r="E28" s="207" t="str">
        <f aca="true">OFFSET(ORÇAMENTO!O$15,$L28,0)</f>
        <v>1.5.</v>
      </c>
      <c r="F28" s="343" t="str">
        <f aca="true">OFFSET(ORÇAMENTO!R$15,$L28,0)</f>
        <v>MOVIMENTAÇÃO DE TERRA</v>
      </c>
      <c r="G28" s="344" t="str">
        <f aca="true">IF($D28&lt;&gt;"Serviço","",OFFSET(ORÇAMENTO!S$15,$L28,0))</f>
        <v/>
      </c>
      <c r="H28" s="212" t="n">
        <f aca="true" t="array" ref="H28:H28">IF($D28&lt;&gt;"Serviço",0,IF(ACOMPANHAMENTO="BM",ROUND(OFFSET(ORÇAMENTO!AJ$15,$L28,0),15-13*ORÇAMENTO!$AF$7),IF(IFERROR(CÁLCULO.FrentesPreenchidas,0)=0,0,SUM(ROUND(OFFSET($P28,0,1,1,CÁLCULO.FrentesPreenchidas),15-13*ORÇAMENTO!$AF$7)))))</f>
        <v>0</v>
      </c>
      <c r="I28" s="345"/>
      <c r="J28" s="346" t="str">
        <f aca="false" t="array" ref="J28:J28">IF(OR(B28&lt;&gt;"S",CÁLCULO.FrentesPreenchidas=0),"",IF(AND(ACOMPANHAMENTO="PLE",AUTOEVENTO="Manual",OR(H28&gt;0,ORÇAMENTO!AC28="QUANT."),OR(K28="",M28=0,N28="")),"►E",IF(AND(ACOMPANHAMENTO="PLE",ORÇAMENTO!AC28="QUANT."),"►Q",IF(AND(ACOMPANHAMENTO="PLE",H28&lt;&gt;SUMPRODUCT(($Q$1:$AA$1=1)*ROUND(Q28:AA28,15))),"►S",IF(AND(COUNTIF($P$11:$AA$11,"▼")=0,H28&gt;0,I28=""),"◄M","")))))</f>
        <v/>
      </c>
      <c r="K28" s="347"/>
      <c r="L28" s="348" t="n">
        <f aca="true">OFFSET(L28,-1,0)+1</f>
        <v>13</v>
      </c>
      <c r="M28" s="349" t="str">
        <f aca="true">IF($D28&lt;&gt;"Serviço","",
          IF(AUTOEVENTO="manual",$A28,
                IF(ISERROR(MATCH($A28,$A$15:OFFSET($A28,-1,0),0)),MAX($M$15:OFFSET(M28,-1,0))+1,
                      INDEX($M$15:OFFSET(M28,-1,0),MATCH($A28,$A$15:OFFSET($A28,-1,0),0)))))</f>
        <v/>
      </c>
      <c r="N28" s="350" t="str">
        <f aca="true">IF($D28&lt;&gt;"Serviço","",
         IF(AUTOEVENTO="Manual",
                IF($A28=0,"&lt;-- defina o número do agrupador",
                       OFFSET(EVENTOS!$D$15,$A28-$A$15,0)),
                OFFSET($F$15,$A28,0)))</f>
        <v/>
      </c>
      <c r="O28" s="351"/>
      <c r="Q28" s="351"/>
      <c r="R28" s="352"/>
      <c r="S28" s="352"/>
      <c r="T28" s="352"/>
      <c r="U28" s="352"/>
      <c r="V28" s="352"/>
      <c r="W28" s="352"/>
      <c r="X28" s="352"/>
      <c r="Y28" s="352"/>
      <c r="Z28" s="353"/>
      <c r="AB28" s="354" t="n">
        <f aca="true">IF(AND($D28="Serviço",AB$12&lt;&gt;0,$H28&gt;0,OR(AUTOEVENTO&lt;&gt;"manual",$M28&lt;&gt;$A$15)),
        IF(Import.TipoArredondamento&lt;&gt;"TransfereGOV",
              ROUND(OFFSET($P28,0,AB$13),15-13*ORÇAMENTO!$AF$7)/$H28*OFFSET(ORÇAMENTO!$X$15,ROW(AB28)-ROW(AB$15),0),
              ROUND(ROUND(OFFSET($P28,0,AB$13),15-13*ORÇAMENTO!$AF$7)*OFFSET(ORÇAMENTO!$W$15,ROW(AB28)-ROW(AB$15),0),15-13*ORÇAMENTO!$AF$11)),
         0)</f>
        <v>0</v>
      </c>
      <c r="AC28" s="354" t="n">
        <f aca="true">IF(AND($D28="Serviço",AC$12&lt;&gt;0,$H28&gt;0,OR(AUTOEVENTO&lt;&gt;"manual",$M28&lt;&gt;$A$15)),
        IF(Import.TipoArredondamento&lt;&gt;"TransfereGOV",
              ROUND(OFFSET($P28,0,AC$13),15-13*ORÇAMENTO!$AF$7)/$H28*OFFSET(ORÇAMENTO!$X$15,ROW(AC28)-ROW(AC$15),0),
              ROUND(ROUND(OFFSET($P28,0,AC$13),15-13*ORÇAMENTO!$AF$7)*OFFSET(ORÇAMENTO!$W$15,ROW(AC28)-ROW(AC$15),0),15-13*ORÇAMENTO!$AF$11)),
         0)</f>
        <v>0</v>
      </c>
      <c r="AD28" s="354" t="n">
        <f aca="true">IF(AND($D28="Serviço",AD$12&lt;&gt;0,$H28&gt;0,OR(AUTOEVENTO&lt;&gt;"manual",$M28&lt;&gt;$A$15)),
        IF(Import.TipoArredondamento&lt;&gt;"TransfereGOV",
              ROUND(OFFSET($P28,0,AD$13),15-13*ORÇAMENTO!$AF$7)/$H28*OFFSET(ORÇAMENTO!$X$15,ROW(AD28)-ROW(AD$15),0),
              ROUND(ROUND(OFFSET($P28,0,AD$13),15-13*ORÇAMENTO!$AF$7)*OFFSET(ORÇAMENTO!$W$15,ROW(AD28)-ROW(AD$15),0),15-13*ORÇAMENTO!$AF$11)),
         0)</f>
        <v>0</v>
      </c>
      <c r="AE28" s="354" t="n">
        <f aca="true">IF(AND($D28="Serviço",AE$12&lt;&gt;0,$H28&gt;0,OR(AUTOEVENTO&lt;&gt;"manual",$M28&lt;&gt;$A$15)),
        IF(Import.TipoArredondamento&lt;&gt;"TransfereGOV",
              ROUND(OFFSET($P28,0,AE$13),15-13*ORÇAMENTO!$AF$7)/$H28*OFFSET(ORÇAMENTO!$X$15,ROW(AE28)-ROW(AE$15),0),
              ROUND(ROUND(OFFSET($P28,0,AE$13),15-13*ORÇAMENTO!$AF$7)*OFFSET(ORÇAMENTO!$W$15,ROW(AE28)-ROW(AE$15),0),15-13*ORÇAMENTO!$AF$11)),
         0)</f>
        <v>0</v>
      </c>
      <c r="AF28" s="354" t="n">
        <f aca="true">IF(AND($D28="Serviço",AF$12&lt;&gt;0,$H28&gt;0,OR(AUTOEVENTO&lt;&gt;"manual",$M28&lt;&gt;$A$15)),
        IF(Import.TipoArredondamento&lt;&gt;"TransfereGOV",
              ROUND(OFFSET($P28,0,AF$13),15-13*ORÇAMENTO!$AF$7)/$H28*OFFSET(ORÇAMENTO!$X$15,ROW(AF28)-ROW(AF$15),0),
              ROUND(ROUND(OFFSET($P28,0,AF$13),15-13*ORÇAMENTO!$AF$7)*OFFSET(ORÇAMENTO!$W$15,ROW(AF28)-ROW(AF$15),0),15-13*ORÇAMENTO!$AF$11)),
         0)</f>
        <v>0</v>
      </c>
      <c r="AG28" s="354" t="n">
        <f aca="true">IF(AND($D28="Serviço",AG$12&lt;&gt;0,$H28&gt;0,OR(AUTOEVENTO&lt;&gt;"manual",$M28&lt;&gt;$A$15)),
        IF(Import.TipoArredondamento&lt;&gt;"TransfereGOV",
              ROUND(OFFSET($P28,0,AG$13),15-13*ORÇAMENTO!$AF$7)/$H28*OFFSET(ORÇAMENTO!$X$15,ROW(AG28)-ROW(AG$15),0),
              ROUND(ROUND(OFFSET($P28,0,AG$13),15-13*ORÇAMENTO!$AF$7)*OFFSET(ORÇAMENTO!$W$15,ROW(AG28)-ROW(AG$15),0),15-13*ORÇAMENTO!$AF$11)),
         0)</f>
        <v>0</v>
      </c>
      <c r="AH28" s="354" t="n">
        <f aca="true">IF(AND($D28="Serviço",AH$12&lt;&gt;0,$H28&gt;0,OR(AUTOEVENTO&lt;&gt;"manual",$M28&lt;&gt;$A$15)),
        IF(Import.TipoArredondamento&lt;&gt;"TransfereGOV",
              ROUND(OFFSET($P28,0,AH$13),15-13*ORÇAMENTO!$AF$7)/$H28*OFFSET(ORÇAMENTO!$X$15,ROW(AH28)-ROW(AH$15),0),
              ROUND(ROUND(OFFSET($P28,0,AH$13),15-13*ORÇAMENTO!$AF$7)*OFFSET(ORÇAMENTO!$W$15,ROW(AH28)-ROW(AH$15),0),15-13*ORÇAMENTO!$AF$11)),
         0)</f>
        <v>0</v>
      </c>
      <c r="AI28" s="354" t="n">
        <f aca="true">IF(AND($D28="Serviço",AI$12&lt;&gt;0,$H28&gt;0,OR(AUTOEVENTO&lt;&gt;"manual",$M28&lt;&gt;$A$15)),
        IF(Import.TipoArredondamento&lt;&gt;"TransfereGOV",
              ROUND(OFFSET($P28,0,AI$13),15-13*ORÇAMENTO!$AF$7)/$H28*OFFSET(ORÇAMENTO!$X$15,ROW(AI28)-ROW(AI$15),0),
              ROUND(ROUND(OFFSET($P28,0,AI$13),15-13*ORÇAMENTO!$AF$7)*OFFSET(ORÇAMENTO!$W$15,ROW(AI28)-ROW(AI$15),0),15-13*ORÇAMENTO!$AF$11)),
         0)</f>
        <v>0</v>
      </c>
      <c r="AJ28" s="354" t="n">
        <f aca="true">IF(AND($D28="Serviço",AJ$12&lt;&gt;0,$H28&gt;0,OR(AUTOEVENTO&lt;&gt;"manual",$M28&lt;&gt;$A$15)),
        IF(Import.TipoArredondamento&lt;&gt;"TransfereGOV",
              ROUND(OFFSET($P28,0,AJ$13),15-13*ORÇAMENTO!$AF$7)/$H28*OFFSET(ORÇAMENTO!$X$15,ROW(AJ28)-ROW(AJ$15),0),
              ROUND(ROUND(OFFSET($P28,0,AJ$13),15-13*ORÇAMENTO!$AF$7)*OFFSET(ORÇAMENTO!$W$15,ROW(AJ28)-ROW(AJ$15),0),15-13*ORÇAMENTO!$AF$11)),
         0)</f>
        <v>0</v>
      </c>
      <c r="AK28" s="354" t="n">
        <f aca="true">IF(AND($D28="Serviço",AK$12&lt;&gt;0,$H28&gt;0,OR(AUTOEVENTO&lt;&gt;"manual",$M28&lt;&gt;$A$15)),
        IF(Import.TipoArredondamento&lt;&gt;"TransfereGOV",
              ROUND(OFFSET($P28,0,AK$13),15-13*ORÇAMENTO!$AF$7)/$H28*OFFSET(ORÇAMENTO!$X$15,ROW(AK28)-ROW(AK$15),0),
              ROUND(ROUND(OFFSET($P28,0,AK$13),15-13*ORÇAMENTO!$AF$7)*OFFSET(ORÇAMENTO!$W$15,ROW(AK28)-ROW(AK$15),0),15-13*ORÇAMENTO!$AF$11)),
         0)</f>
        <v>0</v>
      </c>
      <c r="AM28" s="355" t="n">
        <f aca="true">IF(OR($D28&lt;&gt;"Serviço",AND(AUTOEVENTO="Manual",$M28=$A$15)),0,
         IF(OFFSET(CRONOPLE!$F$15,$M28-$A$15,AM$13)=0,10^12,OFFSET(CRONOPLE!$F$15,$M28-$A$15,AM$13)))</f>
        <v>0</v>
      </c>
      <c r="AN28" s="355" t="n">
        <f aca="true">IF(OR($D28&lt;&gt;"Serviço",AND(AUTOEVENTO="Manual",$M28=$A$15)),0,
         IF(OFFSET(CRONOPLE!$F$15,$M28-$A$15,AN$13)=0,10^12,OFFSET(CRONOPLE!$F$15,$M28-$A$15,AN$13)))</f>
        <v>0</v>
      </c>
      <c r="AO28" s="355" t="n">
        <f aca="true">IF(OR($D28&lt;&gt;"Serviço",AND(AUTOEVENTO="Manual",$M28=$A$15)),0,
         IF(OFFSET(CRONOPLE!$F$15,$M28-$A$15,AO$13)=0,10^12,OFFSET(CRONOPLE!$F$15,$M28-$A$15,AO$13)))</f>
        <v>0</v>
      </c>
      <c r="AP28" s="355" t="n">
        <f aca="true">IF(OR($D28&lt;&gt;"Serviço",AND(AUTOEVENTO="Manual",$M28=$A$15)),0,
         IF(OFFSET(CRONOPLE!$F$15,$M28-$A$15,AP$13)=0,10^12,OFFSET(CRONOPLE!$F$15,$M28-$A$15,AP$13)))</f>
        <v>0</v>
      </c>
      <c r="AQ28" s="355" t="n">
        <f aca="true">IF(OR($D28&lt;&gt;"Serviço",AND(AUTOEVENTO="Manual",$M28=$A$15)),0,
         IF(OFFSET(CRONOPLE!$F$15,$M28-$A$15,AQ$13)=0,10^12,OFFSET(CRONOPLE!$F$15,$M28-$A$15,AQ$13)))</f>
        <v>0</v>
      </c>
      <c r="AR28" s="355" t="n">
        <f aca="true">IF(OR($D28&lt;&gt;"Serviço",AND(AUTOEVENTO="Manual",$M28=$A$15)),0,
         IF(OFFSET(CRONOPLE!$F$15,$M28-$A$15,AR$13)=0,10^12,OFFSET(CRONOPLE!$F$15,$M28-$A$15,AR$13)))</f>
        <v>0</v>
      </c>
      <c r="AS28" s="355" t="n">
        <f aca="true">IF(OR($D28&lt;&gt;"Serviço",AND(AUTOEVENTO="Manual",$M28=$A$15)),0,
         IF(OFFSET(CRONOPLE!$F$15,$M28-$A$15,AS$13)=0,10^12,OFFSET(CRONOPLE!$F$15,$M28-$A$15,AS$13)))</f>
        <v>0</v>
      </c>
      <c r="AT28" s="355" t="n">
        <f aca="true">IF(OR($D28&lt;&gt;"Serviço",AND(AUTOEVENTO="Manual",$M28=$A$15)),0,
         IF(OFFSET(CRONOPLE!$F$15,$M28-$A$15,AT$13)=0,10^12,OFFSET(CRONOPLE!$F$15,$M28-$A$15,AT$13)))</f>
        <v>0</v>
      </c>
      <c r="AU28" s="355" t="n">
        <f aca="true">IF(OR($D28&lt;&gt;"Serviço",AND(AUTOEVENTO="Manual",$M28=$A$15)),0,
         IF(OFFSET(CRONOPLE!$F$15,$M28-$A$15,AU$13)=0,10^12,OFFSET(CRONOPLE!$F$15,$M28-$A$15,AU$13)))</f>
        <v>0</v>
      </c>
      <c r="AV28" s="355" t="n">
        <f aca="true">IF(OR($D28&lt;&gt;"Serviço",AND(AUTOEVENTO="Manual",$M28=$A$15)),0,
         IF(OFFSET(CRONOPLE!$F$15,$M28-$A$15,AV$13)=0,10^12,OFFSET(CRONOPLE!$F$15,$M28-$A$15,AV$13)))</f>
        <v>0</v>
      </c>
      <c r="AX28" s="356" t="n">
        <f aca="true" t="array" ref="AX28:AX28">IF(OR($D28&lt;&gt;"Serviço",AND(AUTOEVENTO="Manual",$M28=$A$15),$M28&gt;(ROW(PLE.lastrow)-ROW(PLE.firstrow))),0,
           IF(OFFSET(PLE!$G$15,$M28-$A$15,AX$13)="",10^12,OFFSET(PLE!$G$15,$M28-$A$15,AX$13)))</f>
        <v>0</v>
      </c>
      <c r="AY28" s="356" t="n">
        <f aca="true" t="array" ref="AY28:AY28">IF(OR($D28&lt;&gt;"Serviço",AND(AUTOEVENTO="Manual",$M28=$A$15),$M28&gt;(ROW(PLE.lastrow)-ROW(PLE.firstrow))),0,
           IF(OFFSET(PLE!$G$15,$M28-$A$15,AY$13)="",10^12,OFFSET(PLE!$G$15,$M28-$A$15,AY$13)))</f>
        <v>0</v>
      </c>
      <c r="AZ28" s="356" t="n">
        <f aca="true" t="array" ref="AZ28:AZ28">IF(OR($D28&lt;&gt;"Serviço",AND(AUTOEVENTO="Manual",$M28=$A$15),$M28&gt;(ROW(PLE.lastrow)-ROW(PLE.firstrow))),0,
           IF(OFFSET(PLE!$G$15,$M28-$A$15,AZ$13)="",10^12,OFFSET(PLE!$G$15,$M28-$A$15,AZ$13)))</f>
        <v>0</v>
      </c>
      <c r="BA28" s="356" t="n">
        <f aca="true" t="array" ref="BA28:BA28">IF(OR($D28&lt;&gt;"Serviço",AND(AUTOEVENTO="Manual",$M28=$A$15),$M28&gt;(ROW(PLE.lastrow)-ROW(PLE.firstrow))),0,
           IF(OFFSET(PLE!$G$15,$M28-$A$15,BA$13)="",10^12,OFFSET(PLE!$G$15,$M28-$A$15,BA$13)))</f>
        <v>0</v>
      </c>
      <c r="BB28" s="356" t="n">
        <f aca="true" t="array" ref="BB28:BB28">IF(OR($D28&lt;&gt;"Serviço",AND(AUTOEVENTO="Manual",$M28=$A$15),$M28&gt;(ROW(PLE.lastrow)-ROW(PLE.firstrow))),0,
           IF(OFFSET(PLE!$G$15,$M28-$A$15,BB$13)="",10^12,OFFSET(PLE!$G$15,$M28-$A$15,BB$13)))</f>
        <v>0</v>
      </c>
      <c r="BC28" s="356" t="n">
        <f aca="true" t="array" ref="BC28:BC28">IF(OR($D28&lt;&gt;"Serviço",AND(AUTOEVENTO="Manual",$M28=$A$15),$M28&gt;(ROW(PLE.lastrow)-ROW(PLE.firstrow))),0,
           IF(OFFSET(PLE!$G$15,$M28-$A$15,BC$13)="",10^12,OFFSET(PLE!$G$15,$M28-$A$15,BC$13)))</f>
        <v>0</v>
      </c>
      <c r="BD28" s="356" t="n">
        <f aca="true" t="array" ref="BD28:BD28">IF(OR($D28&lt;&gt;"Serviço",AND(AUTOEVENTO="Manual",$M28=$A$15),$M28&gt;(ROW(PLE.lastrow)-ROW(PLE.firstrow))),0,
           IF(OFFSET(PLE!$G$15,$M28-$A$15,BD$13)="",10^12,OFFSET(PLE!$G$15,$M28-$A$15,BD$13)))</f>
        <v>0</v>
      </c>
      <c r="BE28" s="356" t="n">
        <f aca="true" t="array" ref="BE28:BE28">IF(OR($D28&lt;&gt;"Serviço",AND(AUTOEVENTO="Manual",$M28=$A$15),$M28&gt;(ROW(PLE.lastrow)-ROW(PLE.firstrow))),0,
           IF(OFFSET(PLE!$G$15,$M28-$A$15,BE$13)="",10^12,OFFSET(PLE!$G$15,$M28-$A$15,BE$13)))</f>
        <v>0</v>
      </c>
      <c r="BF28" s="356" t="n">
        <f aca="true" t="array" ref="BF28:BF28">IF(OR($D28&lt;&gt;"Serviço",AND(AUTOEVENTO="Manual",$M28=$A$15),$M28&gt;(ROW(PLE.lastrow)-ROW(PLE.firstrow))),0,
           IF(OFFSET(PLE!$G$15,$M28-$A$15,BF$13)="",10^12,OFFSET(PLE!$G$15,$M28-$A$15,BF$13)))</f>
        <v>0</v>
      </c>
      <c r="BG28" s="356" t="n">
        <f aca="true" t="array" ref="BG28:BG28">IF(OR($D28&lt;&gt;"Serviço",AND(AUTOEVENTO="Manual",$M28=$A$15),$M28&gt;(ROW(PLE.lastrow)-ROW(PLE.firstrow))),0,
           IF(OFFSET(PLE!$G$15,$M28-$A$15,BG$13)="",10^12,OFFSET(PLE!$G$15,$M28-$A$15,BG$13)))</f>
        <v>0</v>
      </c>
    </row>
    <row r="29" customFormat="false" ht="35.05" hidden="false" customHeight="false" outlineLevel="0" collapsed="false">
      <c r="A29" s="48" t="str">
        <f aca="true">IFERROR(IF(AUTOEVENTO="Manual",IF(K29&lt;&gt;"",MIN(VALUE(LEFT(K29,FIND(".",K29)-1)),COUNTA(EVENTOS.Lista)),0),IF(OR($B29&gt;AUTOEVENTO,$B29="S",$B29=0),SUBSTITUTE(OFFSET($A29,-1,0),IF($D29="Serviço",".",""),""),$L29&amp;".")),0)</f>
        <v>13</v>
      </c>
      <c r="B29" s="48" t="str">
        <f aca="true">OFFSET(ORÇAMENTO!C$15,$L29,0)</f>
        <v>S</v>
      </c>
      <c r="C29" s="48" t="str">
        <f aca="true">OFFSET(ORÇAMENTO!L$15,$L29,0)</f>
        <v/>
      </c>
      <c r="D29" s="206" t="str">
        <f aca="true">OFFSET(ORÇAMENTO!N$15,$L29,0)</f>
        <v>Serviço</v>
      </c>
      <c r="E29" s="207" t="str">
        <f aca="true">OFFSET(ORÇAMENTO!O$15,$L29,0)</f>
        <v>-</v>
      </c>
      <c r="F29" s="343" t="str">
        <f aca="true">OFFSET(ORÇAMENTO!R$15,$L29,0)</f>
        <v>(Código não identificado nas referências)</v>
      </c>
      <c r="G29" s="344" t="str">
        <f aca="true">IF($D29&lt;&gt;"Serviço","",OFFSET(ORÇAMENTO!S$15,$L29,0))</f>
        <v>M3</v>
      </c>
      <c r="H29" s="212" t="n">
        <f aca="true" t="array" ref="H29:H29">IF($D29&lt;&gt;"Serviço",0,IF(ACOMPANHAMENTO="BM",ROUND(OFFSET(ORÇAMENTO!AJ$15,$L29,0),15-13*ORÇAMENTO!$AF$7),IF(IFERROR(CÁLCULO.FrentesPreenchidas,0)=0,0,SUM(ROUND(OFFSET($P29,0,1,1,CÁLCULO.FrentesPreenchidas),15-13*ORÇAMENTO!$AF$7)))))</f>
        <v>317.27</v>
      </c>
      <c r="I29" s="345" t="s">
        <v>899</v>
      </c>
      <c r="J29" s="346" t="str">
        <f aca="false" t="array" ref="J29:J29">IF(OR(B29&lt;&gt;"S",CÁLCULO.FrentesPreenchidas=0),"",IF(AND(ACOMPANHAMENTO="PLE",AUTOEVENTO="Manual",OR(H29&gt;0,ORÇAMENTO!AC29="QUANT."),OR(K29="",M29=0,N29="")),"►E",IF(AND(ACOMPANHAMENTO="PLE",ORÇAMENTO!AC29="QUANT."),"►Q",IF(AND(ACOMPANHAMENTO="PLE",H29&lt;&gt;SUMPRODUCT(($Q$1:$AA$1=1)*ROUND(Q29:AA29,15))),"►S",IF(AND(COUNTIF($P$11:$AA$11,"▼")=0,H29&gt;0,I29=""),"◄M","")))))</f>
        <v/>
      </c>
      <c r="K29" s="347"/>
      <c r="L29" s="348" t="n">
        <f aca="true">OFFSET(L29,-1,0)+1</f>
        <v>14</v>
      </c>
      <c r="M29" s="349" t="n">
        <f aca="true">IF($D29&lt;&gt;"Serviço","",
          IF(AUTOEVENTO="manual",$A29,
                IF(ISERROR(MATCH($A29,$A$15:OFFSET($A29,-1,0),0)),MAX($M$15:OFFSET(M29,-1,0))+1,
                      INDEX($M$15:OFFSET(M29,-1,0),MATCH($A29,$A$15:OFFSET($A29,-1,0),0)))))</f>
        <v>5</v>
      </c>
      <c r="N29" s="350" t="str">
        <f aca="true">IF($D29&lt;&gt;"Serviço","",
         IF(AUTOEVENTO="Manual",
                IF($A29=0,"&lt;-- defina o número do agrupador",
                       OFFSET(EVENTOS!$D$15,$A29-$A$15,0)),
                OFFSET($F$15,$A29,0)))</f>
        <v>MOVIMENTAÇÃO DE TERRA</v>
      </c>
      <c r="O29" s="351"/>
      <c r="Q29" s="351"/>
      <c r="R29" s="352"/>
      <c r="S29" s="352"/>
      <c r="T29" s="352"/>
      <c r="U29" s="352"/>
      <c r="V29" s="352"/>
      <c r="W29" s="352"/>
      <c r="X29" s="352"/>
      <c r="Y29" s="352"/>
      <c r="Z29" s="353"/>
      <c r="AB29" s="354" t="n">
        <f aca="true">IF(AND($D29="Serviço",AB$12&lt;&gt;0,$H29&gt;0,OR(AUTOEVENTO&lt;&gt;"manual",$M29&lt;&gt;$A$15)),
        IF(Import.TipoArredondamento&lt;&gt;"TransfereGOV",
              ROUND(OFFSET($P29,0,AB$13),15-13*ORÇAMENTO!$AF$7)/$H29*OFFSET(ORÇAMENTO!$X$15,ROW(AB29)-ROW(AB$15),0),
              ROUND(ROUND(OFFSET($P29,0,AB$13),15-13*ORÇAMENTO!$AF$7)*OFFSET(ORÇAMENTO!$W$15,ROW(AB29)-ROW(AB$15),0),15-13*ORÇAMENTO!$AF$11)),
         0)</f>
        <v>0</v>
      </c>
      <c r="AC29" s="354" t="n">
        <f aca="true">IF(AND($D29="Serviço",AC$12&lt;&gt;0,$H29&gt;0,OR(AUTOEVENTO&lt;&gt;"manual",$M29&lt;&gt;$A$15)),
        IF(Import.TipoArredondamento&lt;&gt;"TransfereGOV",
              ROUND(OFFSET($P29,0,AC$13),15-13*ORÇAMENTO!$AF$7)/$H29*OFFSET(ORÇAMENTO!$X$15,ROW(AC29)-ROW(AC$15),0),
              ROUND(ROUND(OFFSET($P29,0,AC$13),15-13*ORÇAMENTO!$AF$7)*OFFSET(ORÇAMENTO!$W$15,ROW(AC29)-ROW(AC$15),0),15-13*ORÇAMENTO!$AF$11)),
         0)</f>
        <v>0</v>
      </c>
      <c r="AD29" s="354" t="n">
        <f aca="true">IF(AND($D29="Serviço",AD$12&lt;&gt;0,$H29&gt;0,OR(AUTOEVENTO&lt;&gt;"manual",$M29&lt;&gt;$A$15)),
        IF(Import.TipoArredondamento&lt;&gt;"TransfereGOV",
              ROUND(OFFSET($P29,0,AD$13),15-13*ORÇAMENTO!$AF$7)/$H29*OFFSET(ORÇAMENTO!$X$15,ROW(AD29)-ROW(AD$15),0),
              ROUND(ROUND(OFFSET($P29,0,AD$13),15-13*ORÇAMENTO!$AF$7)*OFFSET(ORÇAMENTO!$W$15,ROW(AD29)-ROW(AD$15),0),15-13*ORÇAMENTO!$AF$11)),
         0)</f>
        <v>0</v>
      </c>
      <c r="AE29" s="354" t="n">
        <f aca="true">IF(AND($D29="Serviço",AE$12&lt;&gt;0,$H29&gt;0,OR(AUTOEVENTO&lt;&gt;"manual",$M29&lt;&gt;$A$15)),
        IF(Import.TipoArredondamento&lt;&gt;"TransfereGOV",
              ROUND(OFFSET($P29,0,AE$13),15-13*ORÇAMENTO!$AF$7)/$H29*OFFSET(ORÇAMENTO!$X$15,ROW(AE29)-ROW(AE$15),0),
              ROUND(ROUND(OFFSET($P29,0,AE$13),15-13*ORÇAMENTO!$AF$7)*OFFSET(ORÇAMENTO!$W$15,ROW(AE29)-ROW(AE$15),0),15-13*ORÇAMENTO!$AF$11)),
         0)</f>
        <v>0</v>
      </c>
      <c r="AF29" s="354" t="n">
        <f aca="true">IF(AND($D29="Serviço",AF$12&lt;&gt;0,$H29&gt;0,OR(AUTOEVENTO&lt;&gt;"manual",$M29&lt;&gt;$A$15)),
        IF(Import.TipoArredondamento&lt;&gt;"TransfereGOV",
              ROUND(OFFSET($P29,0,AF$13),15-13*ORÇAMENTO!$AF$7)/$H29*OFFSET(ORÇAMENTO!$X$15,ROW(AF29)-ROW(AF$15),0),
              ROUND(ROUND(OFFSET($P29,0,AF$13),15-13*ORÇAMENTO!$AF$7)*OFFSET(ORÇAMENTO!$W$15,ROW(AF29)-ROW(AF$15),0),15-13*ORÇAMENTO!$AF$11)),
         0)</f>
        <v>0</v>
      </c>
      <c r="AG29" s="354" t="n">
        <f aca="true">IF(AND($D29="Serviço",AG$12&lt;&gt;0,$H29&gt;0,OR(AUTOEVENTO&lt;&gt;"manual",$M29&lt;&gt;$A$15)),
        IF(Import.TipoArredondamento&lt;&gt;"TransfereGOV",
              ROUND(OFFSET($P29,0,AG$13),15-13*ORÇAMENTO!$AF$7)/$H29*OFFSET(ORÇAMENTO!$X$15,ROW(AG29)-ROW(AG$15),0),
              ROUND(ROUND(OFFSET($P29,0,AG$13),15-13*ORÇAMENTO!$AF$7)*OFFSET(ORÇAMENTO!$W$15,ROW(AG29)-ROW(AG$15),0),15-13*ORÇAMENTO!$AF$11)),
         0)</f>
        <v>0</v>
      </c>
      <c r="AH29" s="354" t="n">
        <f aca="true">IF(AND($D29="Serviço",AH$12&lt;&gt;0,$H29&gt;0,OR(AUTOEVENTO&lt;&gt;"manual",$M29&lt;&gt;$A$15)),
        IF(Import.TipoArredondamento&lt;&gt;"TransfereGOV",
              ROUND(OFFSET($P29,0,AH$13),15-13*ORÇAMENTO!$AF$7)/$H29*OFFSET(ORÇAMENTO!$X$15,ROW(AH29)-ROW(AH$15),0),
              ROUND(ROUND(OFFSET($P29,0,AH$13),15-13*ORÇAMENTO!$AF$7)*OFFSET(ORÇAMENTO!$W$15,ROW(AH29)-ROW(AH$15),0),15-13*ORÇAMENTO!$AF$11)),
         0)</f>
        <v>0</v>
      </c>
      <c r="AI29" s="354" t="n">
        <f aca="true">IF(AND($D29="Serviço",AI$12&lt;&gt;0,$H29&gt;0,OR(AUTOEVENTO&lt;&gt;"manual",$M29&lt;&gt;$A$15)),
        IF(Import.TipoArredondamento&lt;&gt;"TransfereGOV",
              ROUND(OFFSET($P29,0,AI$13),15-13*ORÇAMENTO!$AF$7)/$H29*OFFSET(ORÇAMENTO!$X$15,ROW(AI29)-ROW(AI$15),0),
              ROUND(ROUND(OFFSET($P29,0,AI$13),15-13*ORÇAMENTO!$AF$7)*OFFSET(ORÇAMENTO!$W$15,ROW(AI29)-ROW(AI$15),0),15-13*ORÇAMENTO!$AF$11)),
         0)</f>
        <v>0</v>
      </c>
      <c r="AJ29" s="354" t="n">
        <f aca="true">IF(AND($D29="Serviço",AJ$12&lt;&gt;0,$H29&gt;0,OR(AUTOEVENTO&lt;&gt;"manual",$M29&lt;&gt;$A$15)),
        IF(Import.TipoArredondamento&lt;&gt;"TransfereGOV",
              ROUND(OFFSET($P29,0,AJ$13),15-13*ORÇAMENTO!$AF$7)/$H29*OFFSET(ORÇAMENTO!$X$15,ROW(AJ29)-ROW(AJ$15),0),
              ROUND(ROUND(OFFSET($P29,0,AJ$13),15-13*ORÇAMENTO!$AF$7)*OFFSET(ORÇAMENTO!$W$15,ROW(AJ29)-ROW(AJ$15),0),15-13*ORÇAMENTO!$AF$11)),
         0)</f>
        <v>0</v>
      </c>
      <c r="AK29" s="354" t="n">
        <f aca="true">IF(AND($D29="Serviço",AK$12&lt;&gt;0,$H29&gt;0,OR(AUTOEVENTO&lt;&gt;"manual",$M29&lt;&gt;$A$15)),
        IF(Import.TipoArredondamento&lt;&gt;"TransfereGOV",
              ROUND(OFFSET($P29,0,AK$13),15-13*ORÇAMENTO!$AF$7)/$H29*OFFSET(ORÇAMENTO!$X$15,ROW(AK29)-ROW(AK$15),0),
              ROUND(ROUND(OFFSET($P29,0,AK$13),15-13*ORÇAMENTO!$AF$7)*OFFSET(ORÇAMENTO!$W$15,ROW(AK29)-ROW(AK$15),0),15-13*ORÇAMENTO!$AF$11)),
         0)</f>
        <v>0</v>
      </c>
      <c r="AM29" s="355" t="n">
        <f aca="true">IF(OR($D29&lt;&gt;"Serviço",AND(AUTOEVENTO="Manual",$M29=$A$15)),0,
         IF(OFFSET(CRONOPLE!$F$15,$M29-$A$15,AM$13)=0,10^12,OFFSET(CRONOPLE!$F$15,$M29-$A$15,AM$13)))</f>
        <v>1000000000000</v>
      </c>
      <c r="AN29" s="355" t="n">
        <f aca="true">IF(OR($D29&lt;&gt;"Serviço",AND(AUTOEVENTO="Manual",$M29=$A$15)),0,
         IF(OFFSET(CRONOPLE!$F$15,$M29-$A$15,AN$13)=0,10^12,OFFSET(CRONOPLE!$F$15,$M29-$A$15,AN$13)))</f>
        <v>1000000000000</v>
      </c>
      <c r="AO29" s="355" t="n">
        <f aca="true">IF(OR($D29&lt;&gt;"Serviço",AND(AUTOEVENTO="Manual",$M29=$A$15)),0,
         IF(OFFSET(CRONOPLE!$F$15,$M29-$A$15,AO$13)=0,10^12,OFFSET(CRONOPLE!$F$15,$M29-$A$15,AO$13)))</f>
        <v>1000000000000</v>
      </c>
      <c r="AP29" s="355" t="n">
        <f aca="true">IF(OR($D29&lt;&gt;"Serviço",AND(AUTOEVENTO="Manual",$M29=$A$15)),0,
         IF(OFFSET(CRONOPLE!$F$15,$M29-$A$15,AP$13)=0,10^12,OFFSET(CRONOPLE!$F$15,$M29-$A$15,AP$13)))</f>
        <v>1000000000000</v>
      </c>
      <c r="AQ29" s="355" t="n">
        <f aca="true">IF(OR($D29&lt;&gt;"Serviço",AND(AUTOEVENTO="Manual",$M29=$A$15)),0,
         IF(OFFSET(CRONOPLE!$F$15,$M29-$A$15,AQ$13)=0,10^12,OFFSET(CRONOPLE!$F$15,$M29-$A$15,AQ$13)))</f>
        <v>1000000000000</v>
      </c>
      <c r="AR29" s="355" t="n">
        <f aca="true">IF(OR($D29&lt;&gt;"Serviço",AND(AUTOEVENTO="Manual",$M29=$A$15)),0,
         IF(OFFSET(CRONOPLE!$F$15,$M29-$A$15,AR$13)=0,10^12,OFFSET(CRONOPLE!$F$15,$M29-$A$15,AR$13)))</f>
        <v>1000000000000</v>
      </c>
      <c r="AS29" s="355" t="n">
        <f aca="true">IF(OR($D29&lt;&gt;"Serviço",AND(AUTOEVENTO="Manual",$M29=$A$15)),0,
         IF(OFFSET(CRONOPLE!$F$15,$M29-$A$15,AS$13)=0,10^12,OFFSET(CRONOPLE!$F$15,$M29-$A$15,AS$13)))</f>
        <v>1000000000000</v>
      </c>
      <c r="AT29" s="355" t="n">
        <f aca="true">IF(OR($D29&lt;&gt;"Serviço",AND(AUTOEVENTO="Manual",$M29=$A$15)),0,
         IF(OFFSET(CRONOPLE!$F$15,$M29-$A$15,AT$13)=0,10^12,OFFSET(CRONOPLE!$F$15,$M29-$A$15,AT$13)))</f>
        <v>1000000000000</v>
      </c>
      <c r="AU29" s="355" t="n">
        <f aca="true">IF(OR($D29&lt;&gt;"Serviço",AND(AUTOEVENTO="Manual",$M29=$A$15)),0,
         IF(OFFSET(CRONOPLE!$F$15,$M29-$A$15,AU$13)=0,10^12,OFFSET(CRONOPLE!$F$15,$M29-$A$15,AU$13)))</f>
        <v>1000000000000</v>
      </c>
      <c r="AV29" s="355" t="n">
        <f aca="true">IF(OR($D29&lt;&gt;"Serviço",AND(AUTOEVENTO="Manual",$M29=$A$15)),0,
         IF(OFFSET(CRONOPLE!$F$15,$M29-$A$15,AV$13)=0,10^12,OFFSET(CRONOPLE!$F$15,$M29-$A$15,AV$13)))</f>
        <v>1000000000000</v>
      </c>
      <c r="AX29" s="356" t="n">
        <f aca="true" t="array" ref="AX29:AX29">IF(OR($D29&lt;&gt;"Serviço",AND(AUTOEVENTO="Manual",$M29=$A$15),$M29&gt;(ROW(PLE.lastrow)-ROW(PLE.firstrow))),0,
           IF(OFFSET(PLE!$G$15,$M29-$A$15,AX$13)="",10^12,OFFSET(PLE!$G$15,$M29-$A$15,AX$13)))</f>
        <v>1000000000000</v>
      </c>
      <c r="AY29" s="356" t="n">
        <f aca="true" t="array" ref="AY29:AY29">IF(OR($D29&lt;&gt;"Serviço",AND(AUTOEVENTO="Manual",$M29=$A$15),$M29&gt;(ROW(PLE.lastrow)-ROW(PLE.firstrow))),0,
           IF(OFFSET(PLE!$G$15,$M29-$A$15,AY$13)="",10^12,OFFSET(PLE!$G$15,$M29-$A$15,AY$13)))</f>
        <v>1000000000000</v>
      </c>
      <c r="AZ29" s="356" t="n">
        <f aca="true" t="array" ref="AZ29:AZ29">IF(OR($D29&lt;&gt;"Serviço",AND(AUTOEVENTO="Manual",$M29=$A$15),$M29&gt;(ROW(PLE.lastrow)-ROW(PLE.firstrow))),0,
           IF(OFFSET(PLE!$G$15,$M29-$A$15,AZ$13)="",10^12,OFFSET(PLE!$G$15,$M29-$A$15,AZ$13)))</f>
        <v>1000000000000</v>
      </c>
      <c r="BA29" s="356" t="n">
        <f aca="true" t="array" ref="BA29:BA29">IF(OR($D29&lt;&gt;"Serviço",AND(AUTOEVENTO="Manual",$M29=$A$15),$M29&gt;(ROW(PLE.lastrow)-ROW(PLE.firstrow))),0,
           IF(OFFSET(PLE!$G$15,$M29-$A$15,BA$13)="",10^12,OFFSET(PLE!$G$15,$M29-$A$15,BA$13)))</f>
        <v>1000000000000</v>
      </c>
      <c r="BB29" s="356" t="n">
        <f aca="true" t="array" ref="BB29:BB29">IF(OR($D29&lt;&gt;"Serviço",AND(AUTOEVENTO="Manual",$M29=$A$15),$M29&gt;(ROW(PLE.lastrow)-ROW(PLE.firstrow))),0,
           IF(OFFSET(PLE!$G$15,$M29-$A$15,BB$13)="",10^12,OFFSET(PLE!$G$15,$M29-$A$15,BB$13)))</f>
        <v>1000000000000</v>
      </c>
      <c r="BC29" s="356" t="n">
        <f aca="true" t="array" ref="BC29:BC29">IF(OR($D29&lt;&gt;"Serviço",AND(AUTOEVENTO="Manual",$M29=$A$15),$M29&gt;(ROW(PLE.lastrow)-ROW(PLE.firstrow))),0,
           IF(OFFSET(PLE!$G$15,$M29-$A$15,BC$13)="",10^12,OFFSET(PLE!$G$15,$M29-$A$15,BC$13)))</f>
        <v>1000000000000</v>
      </c>
      <c r="BD29" s="356" t="n">
        <f aca="true" t="array" ref="BD29:BD29">IF(OR($D29&lt;&gt;"Serviço",AND(AUTOEVENTO="Manual",$M29=$A$15),$M29&gt;(ROW(PLE.lastrow)-ROW(PLE.firstrow))),0,
           IF(OFFSET(PLE!$G$15,$M29-$A$15,BD$13)="",10^12,OFFSET(PLE!$G$15,$M29-$A$15,BD$13)))</f>
        <v>1000000000000</v>
      </c>
      <c r="BE29" s="356" t="n">
        <f aca="true" t="array" ref="BE29:BE29">IF(OR($D29&lt;&gt;"Serviço",AND(AUTOEVENTO="Manual",$M29=$A$15),$M29&gt;(ROW(PLE.lastrow)-ROW(PLE.firstrow))),0,
           IF(OFFSET(PLE!$G$15,$M29-$A$15,BE$13)="",10^12,OFFSET(PLE!$G$15,$M29-$A$15,BE$13)))</f>
        <v>1000000000000</v>
      </c>
      <c r="BF29" s="356" t="n">
        <f aca="true" t="array" ref="BF29:BF29">IF(OR($D29&lt;&gt;"Serviço",AND(AUTOEVENTO="Manual",$M29=$A$15),$M29&gt;(ROW(PLE.lastrow)-ROW(PLE.firstrow))),0,
           IF(OFFSET(PLE!$G$15,$M29-$A$15,BF$13)="",10^12,OFFSET(PLE!$G$15,$M29-$A$15,BF$13)))</f>
        <v>1000000000000</v>
      </c>
      <c r="BG29" s="356" t="n">
        <f aca="true" t="array" ref="BG29:BG29">IF(OR($D29&lt;&gt;"Serviço",AND(AUTOEVENTO="Manual",$M29=$A$15),$M29&gt;(ROW(PLE.lastrow)-ROW(PLE.firstrow))),0,
           IF(OFFSET(PLE!$G$15,$M29-$A$15,BG$13)="",10^12,OFFSET(PLE!$G$15,$M29-$A$15,BG$13)))</f>
        <v>1000000000000</v>
      </c>
    </row>
    <row r="30" customFormat="false" ht="35.05" hidden="false" customHeight="false" outlineLevel="0" collapsed="false">
      <c r="A30" s="48" t="str">
        <f aca="true">IFERROR(IF(AUTOEVENTO="Manual",IF(K30&lt;&gt;"",MIN(VALUE(LEFT(K30,FIND(".",K30)-1)),COUNTA(EVENTOS.Lista)),0),IF(OR($B30&gt;AUTOEVENTO,$B30="S",$B30=0),SUBSTITUTE(OFFSET($A30,-1,0),IF($D30="Serviço",".",""),""),$L30&amp;".")),0)</f>
        <v>13</v>
      </c>
      <c r="B30" s="48" t="str">
        <f aca="true">OFFSET(ORÇAMENTO!C$15,$L30,0)</f>
        <v>S</v>
      </c>
      <c r="C30" s="48" t="str">
        <f aca="true">OFFSET(ORÇAMENTO!L$15,$L30,0)</f>
        <v/>
      </c>
      <c r="D30" s="206" t="str">
        <f aca="true">OFFSET(ORÇAMENTO!N$15,$L30,0)</f>
        <v>Serviço</v>
      </c>
      <c r="E30" s="207" t="str">
        <f aca="true">OFFSET(ORÇAMENTO!O$15,$L30,0)</f>
        <v>-</v>
      </c>
      <c r="F30" s="343" t="str">
        <f aca="true">OFFSET(ORÇAMENTO!R$15,$L30,0)</f>
        <v>(Código não identificado nas referências)</v>
      </c>
      <c r="G30" s="344" t="str">
        <f aca="true">IF($D30&lt;&gt;"Serviço","",OFFSET(ORÇAMENTO!S$15,$L30,0))</f>
        <v>-</v>
      </c>
      <c r="H30" s="212" t="n">
        <f aca="true" t="array" ref="H30:H30">IF($D30&lt;&gt;"Serviço",0,IF(ACOMPANHAMENTO="BM",ROUND(OFFSET(ORÇAMENTO!AJ$15,$L30,0),15-13*ORÇAMENTO!$AF$7),IF(IFERROR(CÁLCULO.FrentesPreenchidas,0)=0,0,SUM(ROUND(OFFSET($P30,0,1,1,CÁLCULO.FrentesPreenchidas),15-13*ORÇAMENTO!$AF$7)))))</f>
        <v>317.27</v>
      </c>
      <c r="I30" s="345" t="s">
        <v>899</v>
      </c>
      <c r="J30" s="346" t="str">
        <f aca="false" t="array" ref="J30:J30">IF(OR(B30&lt;&gt;"S",CÁLCULO.FrentesPreenchidas=0),"",IF(AND(ACOMPANHAMENTO="PLE",AUTOEVENTO="Manual",OR(H30&gt;0,ORÇAMENTO!AC30="QUANT."),OR(K30="",M30=0,N30="")),"►E",IF(AND(ACOMPANHAMENTO="PLE",ORÇAMENTO!AC30="QUANT."),"►Q",IF(AND(ACOMPANHAMENTO="PLE",H30&lt;&gt;SUMPRODUCT(($Q$1:$AA$1=1)*ROUND(Q30:AA30,15))),"►S",IF(AND(COUNTIF($P$11:$AA$11,"▼")=0,H30&gt;0,I30=""),"◄M","")))))</f>
        <v/>
      </c>
      <c r="K30" s="347"/>
      <c r="L30" s="348" t="n">
        <f aca="true">OFFSET(L30,-1,0)+1</f>
        <v>15</v>
      </c>
      <c r="M30" s="349" t="n">
        <f aca="true">IF($D30&lt;&gt;"Serviço","",
          IF(AUTOEVENTO="manual",$A30,
                IF(ISERROR(MATCH($A30,$A$15:OFFSET($A30,-1,0),0)),MAX($M$15:OFFSET(M30,-1,0))+1,
                      INDEX($M$15:OFFSET(M30,-1,0),MATCH($A30,$A$15:OFFSET($A30,-1,0),0)))))</f>
        <v>5</v>
      </c>
      <c r="N30" s="350" t="str">
        <f aca="true">IF($D30&lt;&gt;"Serviço","",
         IF(AUTOEVENTO="Manual",
                IF($A30=0,"&lt;-- defina o número do agrupador",
                       OFFSET(EVENTOS!$D$15,$A30-$A$15,0)),
                OFFSET($F$15,$A30,0)))</f>
        <v>MOVIMENTAÇÃO DE TERRA</v>
      </c>
      <c r="O30" s="351"/>
      <c r="Q30" s="351"/>
      <c r="R30" s="352"/>
      <c r="S30" s="352"/>
      <c r="T30" s="352"/>
      <c r="U30" s="352"/>
      <c r="V30" s="352"/>
      <c r="W30" s="352"/>
      <c r="X30" s="352"/>
      <c r="Y30" s="352"/>
      <c r="Z30" s="353"/>
      <c r="AB30" s="354" t="n">
        <f aca="true">IF(AND($D30="Serviço",AB$12&lt;&gt;0,$H30&gt;0,OR(AUTOEVENTO&lt;&gt;"manual",$M30&lt;&gt;$A$15)),
        IF(Import.TipoArredondamento&lt;&gt;"TransfereGOV",
              ROUND(OFFSET($P30,0,AB$13),15-13*ORÇAMENTO!$AF$7)/$H30*OFFSET(ORÇAMENTO!$X$15,ROW(AB30)-ROW(AB$15),0),
              ROUND(ROUND(OFFSET($P30,0,AB$13),15-13*ORÇAMENTO!$AF$7)*OFFSET(ORÇAMENTO!$W$15,ROW(AB30)-ROW(AB$15),0),15-13*ORÇAMENTO!$AF$11)),
         0)</f>
        <v>0</v>
      </c>
      <c r="AC30" s="354" t="n">
        <f aca="true">IF(AND($D30="Serviço",AC$12&lt;&gt;0,$H30&gt;0,OR(AUTOEVENTO&lt;&gt;"manual",$M30&lt;&gt;$A$15)),
        IF(Import.TipoArredondamento&lt;&gt;"TransfereGOV",
              ROUND(OFFSET($P30,0,AC$13),15-13*ORÇAMENTO!$AF$7)/$H30*OFFSET(ORÇAMENTO!$X$15,ROW(AC30)-ROW(AC$15),0),
              ROUND(ROUND(OFFSET($P30,0,AC$13),15-13*ORÇAMENTO!$AF$7)*OFFSET(ORÇAMENTO!$W$15,ROW(AC30)-ROW(AC$15),0),15-13*ORÇAMENTO!$AF$11)),
         0)</f>
        <v>0</v>
      </c>
      <c r="AD30" s="354" t="n">
        <f aca="true">IF(AND($D30="Serviço",AD$12&lt;&gt;0,$H30&gt;0,OR(AUTOEVENTO&lt;&gt;"manual",$M30&lt;&gt;$A$15)),
        IF(Import.TipoArredondamento&lt;&gt;"TransfereGOV",
              ROUND(OFFSET($P30,0,AD$13),15-13*ORÇAMENTO!$AF$7)/$H30*OFFSET(ORÇAMENTO!$X$15,ROW(AD30)-ROW(AD$15),0),
              ROUND(ROUND(OFFSET($P30,0,AD$13),15-13*ORÇAMENTO!$AF$7)*OFFSET(ORÇAMENTO!$W$15,ROW(AD30)-ROW(AD$15),0),15-13*ORÇAMENTO!$AF$11)),
         0)</f>
        <v>0</v>
      </c>
      <c r="AE30" s="354" t="n">
        <f aca="true">IF(AND($D30="Serviço",AE$12&lt;&gt;0,$H30&gt;0,OR(AUTOEVENTO&lt;&gt;"manual",$M30&lt;&gt;$A$15)),
        IF(Import.TipoArredondamento&lt;&gt;"TransfereGOV",
              ROUND(OFFSET($P30,0,AE$13),15-13*ORÇAMENTO!$AF$7)/$H30*OFFSET(ORÇAMENTO!$X$15,ROW(AE30)-ROW(AE$15),0),
              ROUND(ROUND(OFFSET($P30,0,AE$13),15-13*ORÇAMENTO!$AF$7)*OFFSET(ORÇAMENTO!$W$15,ROW(AE30)-ROW(AE$15),0),15-13*ORÇAMENTO!$AF$11)),
         0)</f>
        <v>0</v>
      </c>
      <c r="AF30" s="354" t="n">
        <f aca="true">IF(AND($D30="Serviço",AF$12&lt;&gt;0,$H30&gt;0,OR(AUTOEVENTO&lt;&gt;"manual",$M30&lt;&gt;$A$15)),
        IF(Import.TipoArredondamento&lt;&gt;"TransfereGOV",
              ROUND(OFFSET($P30,0,AF$13),15-13*ORÇAMENTO!$AF$7)/$H30*OFFSET(ORÇAMENTO!$X$15,ROW(AF30)-ROW(AF$15),0),
              ROUND(ROUND(OFFSET($P30,0,AF$13),15-13*ORÇAMENTO!$AF$7)*OFFSET(ORÇAMENTO!$W$15,ROW(AF30)-ROW(AF$15),0),15-13*ORÇAMENTO!$AF$11)),
         0)</f>
        <v>0</v>
      </c>
      <c r="AG30" s="354" t="n">
        <f aca="true">IF(AND($D30="Serviço",AG$12&lt;&gt;0,$H30&gt;0,OR(AUTOEVENTO&lt;&gt;"manual",$M30&lt;&gt;$A$15)),
        IF(Import.TipoArredondamento&lt;&gt;"TransfereGOV",
              ROUND(OFFSET($P30,0,AG$13),15-13*ORÇAMENTO!$AF$7)/$H30*OFFSET(ORÇAMENTO!$X$15,ROW(AG30)-ROW(AG$15),0),
              ROUND(ROUND(OFFSET($P30,0,AG$13),15-13*ORÇAMENTO!$AF$7)*OFFSET(ORÇAMENTO!$W$15,ROW(AG30)-ROW(AG$15),0),15-13*ORÇAMENTO!$AF$11)),
         0)</f>
        <v>0</v>
      </c>
      <c r="AH30" s="354" t="n">
        <f aca="true">IF(AND($D30="Serviço",AH$12&lt;&gt;0,$H30&gt;0,OR(AUTOEVENTO&lt;&gt;"manual",$M30&lt;&gt;$A$15)),
        IF(Import.TipoArredondamento&lt;&gt;"TransfereGOV",
              ROUND(OFFSET($P30,0,AH$13),15-13*ORÇAMENTO!$AF$7)/$H30*OFFSET(ORÇAMENTO!$X$15,ROW(AH30)-ROW(AH$15),0),
              ROUND(ROUND(OFFSET($P30,0,AH$13),15-13*ORÇAMENTO!$AF$7)*OFFSET(ORÇAMENTO!$W$15,ROW(AH30)-ROW(AH$15),0),15-13*ORÇAMENTO!$AF$11)),
         0)</f>
        <v>0</v>
      </c>
      <c r="AI30" s="354" t="n">
        <f aca="true">IF(AND($D30="Serviço",AI$12&lt;&gt;0,$H30&gt;0,OR(AUTOEVENTO&lt;&gt;"manual",$M30&lt;&gt;$A$15)),
        IF(Import.TipoArredondamento&lt;&gt;"TransfereGOV",
              ROUND(OFFSET($P30,0,AI$13),15-13*ORÇAMENTO!$AF$7)/$H30*OFFSET(ORÇAMENTO!$X$15,ROW(AI30)-ROW(AI$15),0),
              ROUND(ROUND(OFFSET($P30,0,AI$13),15-13*ORÇAMENTO!$AF$7)*OFFSET(ORÇAMENTO!$W$15,ROW(AI30)-ROW(AI$15),0),15-13*ORÇAMENTO!$AF$11)),
         0)</f>
        <v>0</v>
      </c>
      <c r="AJ30" s="354" t="n">
        <f aca="true">IF(AND($D30="Serviço",AJ$12&lt;&gt;0,$H30&gt;0,OR(AUTOEVENTO&lt;&gt;"manual",$M30&lt;&gt;$A$15)),
        IF(Import.TipoArredondamento&lt;&gt;"TransfereGOV",
              ROUND(OFFSET($P30,0,AJ$13),15-13*ORÇAMENTO!$AF$7)/$H30*OFFSET(ORÇAMENTO!$X$15,ROW(AJ30)-ROW(AJ$15),0),
              ROUND(ROUND(OFFSET($P30,0,AJ$13),15-13*ORÇAMENTO!$AF$7)*OFFSET(ORÇAMENTO!$W$15,ROW(AJ30)-ROW(AJ$15),0),15-13*ORÇAMENTO!$AF$11)),
         0)</f>
        <v>0</v>
      </c>
      <c r="AK30" s="354" t="n">
        <f aca="true">IF(AND($D30="Serviço",AK$12&lt;&gt;0,$H30&gt;0,OR(AUTOEVENTO&lt;&gt;"manual",$M30&lt;&gt;$A$15)),
        IF(Import.TipoArredondamento&lt;&gt;"TransfereGOV",
              ROUND(OFFSET($P30,0,AK$13),15-13*ORÇAMENTO!$AF$7)/$H30*OFFSET(ORÇAMENTO!$X$15,ROW(AK30)-ROW(AK$15),0),
              ROUND(ROUND(OFFSET($P30,0,AK$13),15-13*ORÇAMENTO!$AF$7)*OFFSET(ORÇAMENTO!$W$15,ROW(AK30)-ROW(AK$15),0),15-13*ORÇAMENTO!$AF$11)),
         0)</f>
        <v>0</v>
      </c>
      <c r="AM30" s="355" t="n">
        <f aca="true">IF(OR($D30&lt;&gt;"Serviço",AND(AUTOEVENTO="Manual",$M30=$A$15)),0,
         IF(OFFSET(CRONOPLE!$F$15,$M30-$A$15,AM$13)=0,10^12,OFFSET(CRONOPLE!$F$15,$M30-$A$15,AM$13)))</f>
        <v>1000000000000</v>
      </c>
      <c r="AN30" s="355" t="n">
        <f aca="true">IF(OR($D30&lt;&gt;"Serviço",AND(AUTOEVENTO="Manual",$M30=$A$15)),0,
         IF(OFFSET(CRONOPLE!$F$15,$M30-$A$15,AN$13)=0,10^12,OFFSET(CRONOPLE!$F$15,$M30-$A$15,AN$13)))</f>
        <v>1000000000000</v>
      </c>
      <c r="AO30" s="355" t="n">
        <f aca="true">IF(OR($D30&lt;&gt;"Serviço",AND(AUTOEVENTO="Manual",$M30=$A$15)),0,
         IF(OFFSET(CRONOPLE!$F$15,$M30-$A$15,AO$13)=0,10^12,OFFSET(CRONOPLE!$F$15,$M30-$A$15,AO$13)))</f>
        <v>1000000000000</v>
      </c>
      <c r="AP30" s="355" t="n">
        <f aca="true">IF(OR($D30&lt;&gt;"Serviço",AND(AUTOEVENTO="Manual",$M30=$A$15)),0,
         IF(OFFSET(CRONOPLE!$F$15,$M30-$A$15,AP$13)=0,10^12,OFFSET(CRONOPLE!$F$15,$M30-$A$15,AP$13)))</f>
        <v>1000000000000</v>
      </c>
      <c r="AQ30" s="355" t="n">
        <f aca="true">IF(OR($D30&lt;&gt;"Serviço",AND(AUTOEVENTO="Manual",$M30=$A$15)),0,
         IF(OFFSET(CRONOPLE!$F$15,$M30-$A$15,AQ$13)=0,10^12,OFFSET(CRONOPLE!$F$15,$M30-$A$15,AQ$13)))</f>
        <v>1000000000000</v>
      </c>
      <c r="AR30" s="355" t="n">
        <f aca="true">IF(OR($D30&lt;&gt;"Serviço",AND(AUTOEVENTO="Manual",$M30=$A$15)),0,
         IF(OFFSET(CRONOPLE!$F$15,$M30-$A$15,AR$13)=0,10^12,OFFSET(CRONOPLE!$F$15,$M30-$A$15,AR$13)))</f>
        <v>1000000000000</v>
      </c>
      <c r="AS30" s="355" t="n">
        <f aca="true">IF(OR($D30&lt;&gt;"Serviço",AND(AUTOEVENTO="Manual",$M30=$A$15)),0,
         IF(OFFSET(CRONOPLE!$F$15,$M30-$A$15,AS$13)=0,10^12,OFFSET(CRONOPLE!$F$15,$M30-$A$15,AS$13)))</f>
        <v>1000000000000</v>
      </c>
      <c r="AT30" s="355" t="n">
        <f aca="true">IF(OR($D30&lt;&gt;"Serviço",AND(AUTOEVENTO="Manual",$M30=$A$15)),0,
         IF(OFFSET(CRONOPLE!$F$15,$M30-$A$15,AT$13)=0,10^12,OFFSET(CRONOPLE!$F$15,$M30-$A$15,AT$13)))</f>
        <v>1000000000000</v>
      </c>
      <c r="AU30" s="355" t="n">
        <f aca="true">IF(OR($D30&lt;&gt;"Serviço",AND(AUTOEVENTO="Manual",$M30=$A$15)),0,
         IF(OFFSET(CRONOPLE!$F$15,$M30-$A$15,AU$13)=0,10^12,OFFSET(CRONOPLE!$F$15,$M30-$A$15,AU$13)))</f>
        <v>1000000000000</v>
      </c>
      <c r="AV30" s="355" t="n">
        <f aca="true">IF(OR($D30&lt;&gt;"Serviço",AND(AUTOEVENTO="Manual",$M30=$A$15)),0,
         IF(OFFSET(CRONOPLE!$F$15,$M30-$A$15,AV$13)=0,10^12,OFFSET(CRONOPLE!$F$15,$M30-$A$15,AV$13)))</f>
        <v>1000000000000</v>
      </c>
      <c r="AX30" s="356" t="n">
        <f aca="true" t="array" ref="AX30:AX30">IF(OR($D30&lt;&gt;"Serviço",AND(AUTOEVENTO="Manual",$M30=$A$15),$M30&gt;(ROW(PLE.lastrow)-ROW(PLE.firstrow))),0,
           IF(OFFSET(PLE!$G$15,$M30-$A$15,AX$13)="",10^12,OFFSET(PLE!$G$15,$M30-$A$15,AX$13)))</f>
        <v>1000000000000</v>
      </c>
      <c r="AY30" s="356" t="n">
        <f aca="true" t="array" ref="AY30:AY30">IF(OR($D30&lt;&gt;"Serviço",AND(AUTOEVENTO="Manual",$M30=$A$15),$M30&gt;(ROW(PLE.lastrow)-ROW(PLE.firstrow))),0,
           IF(OFFSET(PLE!$G$15,$M30-$A$15,AY$13)="",10^12,OFFSET(PLE!$G$15,$M30-$A$15,AY$13)))</f>
        <v>1000000000000</v>
      </c>
      <c r="AZ30" s="356" t="n">
        <f aca="true" t="array" ref="AZ30:AZ30">IF(OR($D30&lt;&gt;"Serviço",AND(AUTOEVENTO="Manual",$M30=$A$15),$M30&gt;(ROW(PLE.lastrow)-ROW(PLE.firstrow))),0,
           IF(OFFSET(PLE!$G$15,$M30-$A$15,AZ$13)="",10^12,OFFSET(PLE!$G$15,$M30-$A$15,AZ$13)))</f>
        <v>1000000000000</v>
      </c>
      <c r="BA30" s="356" t="n">
        <f aca="true" t="array" ref="BA30:BA30">IF(OR($D30&lt;&gt;"Serviço",AND(AUTOEVENTO="Manual",$M30=$A$15),$M30&gt;(ROW(PLE.lastrow)-ROW(PLE.firstrow))),0,
           IF(OFFSET(PLE!$G$15,$M30-$A$15,BA$13)="",10^12,OFFSET(PLE!$G$15,$M30-$A$15,BA$13)))</f>
        <v>1000000000000</v>
      </c>
      <c r="BB30" s="356" t="n">
        <f aca="true" t="array" ref="BB30:BB30">IF(OR($D30&lt;&gt;"Serviço",AND(AUTOEVENTO="Manual",$M30=$A$15),$M30&gt;(ROW(PLE.lastrow)-ROW(PLE.firstrow))),0,
           IF(OFFSET(PLE!$G$15,$M30-$A$15,BB$13)="",10^12,OFFSET(PLE!$G$15,$M30-$A$15,BB$13)))</f>
        <v>1000000000000</v>
      </c>
      <c r="BC30" s="356" t="n">
        <f aca="true" t="array" ref="BC30:BC30">IF(OR($D30&lt;&gt;"Serviço",AND(AUTOEVENTO="Manual",$M30=$A$15),$M30&gt;(ROW(PLE.lastrow)-ROW(PLE.firstrow))),0,
           IF(OFFSET(PLE!$G$15,$M30-$A$15,BC$13)="",10^12,OFFSET(PLE!$G$15,$M30-$A$15,BC$13)))</f>
        <v>1000000000000</v>
      </c>
      <c r="BD30" s="356" t="n">
        <f aca="true" t="array" ref="BD30:BD30">IF(OR($D30&lt;&gt;"Serviço",AND(AUTOEVENTO="Manual",$M30=$A$15),$M30&gt;(ROW(PLE.lastrow)-ROW(PLE.firstrow))),0,
           IF(OFFSET(PLE!$G$15,$M30-$A$15,BD$13)="",10^12,OFFSET(PLE!$G$15,$M30-$A$15,BD$13)))</f>
        <v>1000000000000</v>
      </c>
      <c r="BE30" s="356" t="n">
        <f aca="true" t="array" ref="BE30:BE30">IF(OR($D30&lt;&gt;"Serviço",AND(AUTOEVENTO="Manual",$M30=$A$15),$M30&gt;(ROW(PLE.lastrow)-ROW(PLE.firstrow))),0,
           IF(OFFSET(PLE!$G$15,$M30-$A$15,BE$13)="",10^12,OFFSET(PLE!$G$15,$M30-$A$15,BE$13)))</f>
        <v>1000000000000</v>
      </c>
      <c r="BF30" s="356" t="n">
        <f aca="true" t="array" ref="BF30:BF30">IF(OR($D30&lt;&gt;"Serviço",AND(AUTOEVENTO="Manual",$M30=$A$15),$M30&gt;(ROW(PLE.lastrow)-ROW(PLE.firstrow))),0,
           IF(OFFSET(PLE!$G$15,$M30-$A$15,BF$13)="",10^12,OFFSET(PLE!$G$15,$M30-$A$15,BF$13)))</f>
        <v>1000000000000</v>
      </c>
      <c r="BG30" s="356" t="n">
        <f aca="true" t="array" ref="BG30:BG30">IF(OR($D30&lt;&gt;"Serviço",AND(AUTOEVENTO="Manual",$M30=$A$15),$M30&gt;(ROW(PLE.lastrow)-ROW(PLE.firstrow))),0,
           IF(OFFSET(PLE!$G$15,$M30-$A$15,BG$13)="",10^12,OFFSET(PLE!$G$15,$M30-$A$15,BG$13)))</f>
        <v>1000000000000</v>
      </c>
    </row>
    <row r="31" customFormat="false" ht="23.85" hidden="false" customHeight="false" outlineLevel="0" collapsed="false">
      <c r="A31" s="48" t="str">
        <f aca="true">IFERROR(IF(AUTOEVENTO="Manual",IF(K31&lt;&gt;"",MIN(VALUE(LEFT(K31,FIND(".",K31)-1)),COUNTA(EVENTOS.Lista)),0),IF(OR($B31&gt;AUTOEVENTO,$B31="S",$B31=0),SUBSTITUTE(OFFSET($A31,-1,0),IF($D31="Serviço",".",""),""),$L31&amp;".")),0)</f>
        <v>13</v>
      </c>
      <c r="B31" s="48" t="str">
        <f aca="true">OFFSET(ORÇAMENTO!C$15,$L31,0)</f>
        <v>S</v>
      </c>
      <c r="C31" s="48" t="str">
        <f aca="true">OFFSET(ORÇAMENTO!L$15,$L31,0)</f>
        <v/>
      </c>
      <c r="D31" s="206" t="str">
        <f aca="true">OFFSET(ORÇAMENTO!N$15,$L31,0)</f>
        <v>Serviço</v>
      </c>
      <c r="E31" s="207" t="str">
        <f aca="true">OFFSET(ORÇAMENTO!O$15,$L31,0)</f>
        <v>-</v>
      </c>
      <c r="F31" s="343" t="str">
        <f aca="true">OFFSET(ORÇAMENTO!R$15,$L31,0)</f>
        <v>(Código não identificado nas referências)</v>
      </c>
      <c r="G31" s="344" t="str">
        <f aca="true">IF($D31&lt;&gt;"Serviço","",OFFSET(ORÇAMENTO!S$15,$L31,0))</f>
        <v>-</v>
      </c>
      <c r="H31" s="212" t="n">
        <f aca="true" t="array" ref="H31:H31">IF($D31&lt;&gt;"Serviço",0,IF(ACOMPANHAMENTO="BM",ROUND(OFFSET(ORÇAMENTO!AJ$15,$L31,0),15-13*ORÇAMENTO!$AF$7),IF(IFERROR(CÁLCULO.FrentesPreenchidas,0)=0,0,SUM(ROUND(OFFSET($P31,0,1,1,CÁLCULO.FrentesPreenchidas),15-13*ORÇAMENTO!$AF$7)))))</f>
        <v>4759.05</v>
      </c>
      <c r="I31" s="345" t="s">
        <v>900</v>
      </c>
      <c r="J31" s="346" t="str">
        <f aca="false" t="array" ref="J31:J31">IF(OR(B31&lt;&gt;"S",CÁLCULO.FrentesPreenchidas=0),"",IF(AND(ACOMPANHAMENTO="PLE",AUTOEVENTO="Manual",OR(H31&gt;0,ORÇAMENTO!AC31="QUANT."),OR(K31="",M31=0,N31="")),"►E",IF(AND(ACOMPANHAMENTO="PLE",ORÇAMENTO!AC31="QUANT."),"►Q",IF(AND(ACOMPANHAMENTO="PLE",H31&lt;&gt;SUMPRODUCT(($Q$1:$AA$1=1)*ROUND(Q31:AA31,15))),"►S",IF(AND(COUNTIF($P$11:$AA$11,"▼")=0,H31&gt;0,I31=""),"◄M","")))))</f>
        <v/>
      </c>
      <c r="K31" s="347"/>
      <c r="L31" s="348" t="n">
        <f aca="true">OFFSET(L31,-1,0)+1</f>
        <v>16</v>
      </c>
      <c r="M31" s="349" t="n">
        <f aca="true">IF($D31&lt;&gt;"Serviço","",
          IF(AUTOEVENTO="manual",$A31,
                IF(ISERROR(MATCH($A31,$A$15:OFFSET($A31,-1,0),0)),MAX($M$15:OFFSET(M31,-1,0))+1,
                      INDEX($M$15:OFFSET(M31,-1,0),MATCH($A31,$A$15:OFFSET($A31,-1,0),0)))))</f>
        <v>5</v>
      </c>
      <c r="N31" s="350" t="str">
        <f aca="true">IF($D31&lt;&gt;"Serviço","",
         IF(AUTOEVENTO="Manual",
                IF($A31=0,"&lt;-- defina o número do agrupador",
                       OFFSET(EVENTOS!$D$15,$A31-$A$15,0)),
                OFFSET($F$15,$A31,0)))</f>
        <v>MOVIMENTAÇÃO DE TERRA</v>
      </c>
      <c r="O31" s="351"/>
      <c r="Q31" s="351"/>
      <c r="R31" s="352"/>
      <c r="S31" s="352"/>
      <c r="T31" s="352"/>
      <c r="U31" s="352"/>
      <c r="V31" s="352"/>
      <c r="W31" s="352"/>
      <c r="X31" s="352"/>
      <c r="Y31" s="352"/>
      <c r="Z31" s="353"/>
      <c r="AB31" s="354" t="n">
        <f aca="true">IF(AND($D31="Serviço",AB$12&lt;&gt;0,$H31&gt;0,OR(AUTOEVENTO&lt;&gt;"manual",$M31&lt;&gt;$A$15)),
        IF(Import.TipoArredondamento&lt;&gt;"TransfereGOV",
              ROUND(OFFSET($P31,0,AB$13),15-13*ORÇAMENTO!$AF$7)/$H31*OFFSET(ORÇAMENTO!$X$15,ROW(AB31)-ROW(AB$15),0),
              ROUND(ROUND(OFFSET($P31,0,AB$13),15-13*ORÇAMENTO!$AF$7)*OFFSET(ORÇAMENTO!$W$15,ROW(AB31)-ROW(AB$15),0),15-13*ORÇAMENTO!$AF$11)),
         0)</f>
        <v>0</v>
      </c>
      <c r="AC31" s="354" t="n">
        <f aca="true">IF(AND($D31="Serviço",AC$12&lt;&gt;0,$H31&gt;0,OR(AUTOEVENTO&lt;&gt;"manual",$M31&lt;&gt;$A$15)),
        IF(Import.TipoArredondamento&lt;&gt;"TransfereGOV",
              ROUND(OFFSET($P31,0,AC$13),15-13*ORÇAMENTO!$AF$7)/$H31*OFFSET(ORÇAMENTO!$X$15,ROW(AC31)-ROW(AC$15),0),
              ROUND(ROUND(OFFSET($P31,0,AC$13),15-13*ORÇAMENTO!$AF$7)*OFFSET(ORÇAMENTO!$W$15,ROW(AC31)-ROW(AC$15),0),15-13*ORÇAMENTO!$AF$11)),
         0)</f>
        <v>0</v>
      </c>
      <c r="AD31" s="354" t="n">
        <f aca="true">IF(AND($D31="Serviço",AD$12&lt;&gt;0,$H31&gt;0,OR(AUTOEVENTO&lt;&gt;"manual",$M31&lt;&gt;$A$15)),
        IF(Import.TipoArredondamento&lt;&gt;"TransfereGOV",
              ROUND(OFFSET($P31,0,AD$13),15-13*ORÇAMENTO!$AF$7)/$H31*OFFSET(ORÇAMENTO!$X$15,ROW(AD31)-ROW(AD$15),0),
              ROUND(ROUND(OFFSET($P31,0,AD$13),15-13*ORÇAMENTO!$AF$7)*OFFSET(ORÇAMENTO!$W$15,ROW(AD31)-ROW(AD$15),0),15-13*ORÇAMENTO!$AF$11)),
         0)</f>
        <v>0</v>
      </c>
      <c r="AE31" s="354" t="n">
        <f aca="true">IF(AND($D31="Serviço",AE$12&lt;&gt;0,$H31&gt;0,OR(AUTOEVENTO&lt;&gt;"manual",$M31&lt;&gt;$A$15)),
        IF(Import.TipoArredondamento&lt;&gt;"TransfereGOV",
              ROUND(OFFSET($P31,0,AE$13),15-13*ORÇAMENTO!$AF$7)/$H31*OFFSET(ORÇAMENTO!$X$15,ROW(AE31)-ROW(AE$15),0),
              ROUND(ROUND(OFFSET($P31,0,AE$13),15-13*ORÇAMENTO!$AF$7)*OFFSET(ORÇAMENTO!$W$15,ROW(AE31)-ROW(AE$15),0),15-13*ORÇAMENTO!$AF$11)),
         0)</f>
        <v>0</v>
      </c>
      <c r="AF31" s="354" t="n">
        <f aca="true">IF(AND($D31="Serviço",AF$12&lt;&gt;0,$H31&gt;0,OR(AUTOEVENTO&lt;&gt;"manual",$M31&lt;&gt;$A$15)),
        IF(Import.TipoArredondamento&lt;&gt;"TransfereGOV",
              ROUND(OFFSET($P31,0,AF$13),15-13*ORÇAMENTO!$AF$7)/$H31*OFFSET(ORÇAMENTO!$X$15,ROW(AF31)-ROW(AF$15),0),
              ROUND(ROUND(OFFSET($P31,0,AF$13),15-13*ORÇAMENTO!$AF$7)*OFFSET(ORÇAMENTO!$W$15,ROW(AF31)-ROW(AF$15),0),15-13*ORÇAMENTO!$AF$11)),
         0)</f>
        <v>0</v>
      </c>
      <c r="AG31" s="354" t="n">
        <f aca="true">IF(AND($D31="Serviço",AG$12&lt;&gt;0,$H31&gt;0,OR(AUTOEVENTO&lt;&gt;"manual",$M31&lt;&gt;$A$15)),
        IF(Import.TipoArredondamento&lt;&gt;"TransfereGOV",
              ROUND(OFFSET($P31,0,AG$13),15-13*ORÇAMENTO!$AF$7)/$H31*OFFSET(ORÇAMENTO!$X$15,ROW(AG31)-ROW(AG$15),0),
              ROUND(ROUND(OFFSET($P31,0,AG$13),15-13*ORÇAMENTO!$AF$7)*OFFSET(ORÇAMENTO!$W$15,ROW(AG31)-ROW(AG$15),0),15-13*ORÇAMENTO!$AF$11)),
         0)</f>
        <v>0</v>
      </c>
      <c r="AH31" s="354" t="n">
        <f aca="true">IF(AND($D31="Serviço",AH$12&lt;&gt;0,$H31&gt;0,OR(AUTOEVENTO&lt;&gt;"manual",$M31&lt;&gt;$A$15)),
        IF(Import.TipoArredondamento&lt;&gt;"TransfereGOV",
              ROUND(OFFSET($P31,0,AH$13),15-13*ORÇAMENTO!$AF$7)/$H31*OFFSET(ORÇAMENTO!$X$15,ROW(AH31)-ROW(AH$15),0),
              ROUND(ROUND(OFFSET($P31,0,AH$13),15-13*ORÇAMENTO!$AF$7)*OFFSET(ORÇAMENTO!$W$15,ROW(AH31)-ROW(AH$15),0),15-13*ORÇAMENTO!$AF$11)),
         0)</f>
        <v>0</v>
      </c>
      <c r="AI31" s="354" t="n">
        <f aca="true">IF(AND($D31="Serviço",AI$12&lt;&gt;0,$H31&gt;0,OR(AUTOEVENTO&lt;&gt;"manual",$M31&lt;&gt;$A$15)),
        IF(Import.TipoArredondamento&lt;&gt;"TransfereGOV",
              ROUND(OFFSET($P31,0,AI$13),15-13*ORÇAMENTO!$AF$7)/$H31*OFFSET(ORÇAMENTO!$X$15,ROW(AI31)-ROW(AI$15),0),
              ROUND(ROUND(OFFSET($P31,0,AI$13),15-13*ORÇAMENTO!$AF$7)*OFFSET(ORÇAMENTO!$W$15,ROW(AI31)-ROW(AI$15),0),15-13*ORÇAMENTO!$AF$11)),
         0)</f>
        <v>0</v>
      </c>
      <c r="AJ31" s="354" t="n">
        <f aca="true">IF(AND($D31="Serviço",AJ$12&lt;&gt;0,$H31&gt;0,OR(AUTOEVENTO&lt;&gt;"manual",$M31&lt;&gt;$A$15)),
        IF(Import.TipoArredondamento&lt;&gt;"TransfereGOV",
              ROUND(OFFSET($P31,0,AJ$13),15-13*ORÇAMENTO!$AF$7)/$H31*OFFSET(ORÇAMENTO!$X$15,ROW(AJ31)-ROW(AJ$15),0),
              ROUND(ROUND(OFFSET($P31,0,AJ$13),15-13*ORÇAMENTO!$AF$7)*OFFSET(ORÇAMENTO!$W$15,ROW(AJ31)-ROW(AJ$15),0),15-13*ORÇAMENTO!$AF$11)),
         0)</f>
        <v>0</v>
      </c>
      <c r="AK31" s="354" t="n">
        <f aca="true">IF(AND($D31="Serviço",AK$12&lt;&gt;0,$H31&gt;0,OR(AUTOEVENTO&lt;&gt;"manual",$M31&lt;&gt;$A$15)),
        IF(Import.TipoArredondamento&lt;&gt;"TransfereGOV",
              ROUND(OFFSET($P31,0,AK$13),15-13*ORÇAMENTO!$AF$7)/$H31*OFFSET(ORÇAMENTO!$X$15,ROW(AK31)-ROW(AK$15),0),
              ROUND(ROUND(OFFSET($P31,0,AK$13),15-13*ORÇAMENTO!$AF$7)*OFFSET(ORÇAMENTO!$W$15,ROW(AK31)-ROW(AK$15),0),15-13*ORÇAMENTO!$AF$11)),
         0)</f>
        <v>0</v>
      </c>
      <c r="AM31" s="355" t="n">
        <f aca="true">IF(OR($D31&lt;&gt;"Serviço",AND(AUTOEVENTO="Manual",$M31=$A$15)),0,
         IF(OFFSET(CRONOPLE!$F$15,$M31-$A$15,AM$13)=0,10^12,OFFSET(CRONOPLE!$F$15,$M31-$A$15,AM$13)))</f>
        <v>1000000000000</v>
      </c>
      <c r="AN31" s="355" t="n">
        <f aca="true">IF(OR($D31&lt;&gt;"Serviço",AND(AUTOEVENTO="Manual",$M31=$A$15)),0,
         IF(OFFSET(CRONOPLE!$F$15,$M31-$A$15,AN$13)=0,10^12,OFFSET(CRONOPLE!$F$15,$M31-$A$15,AN$13)))</f>
        <v>1000000000000</v>
      </c>
      <c r="AO31" s="355" t="n">
        <f aca="true">IF(OR($D31&lt;&gt;"Serviço",AND(AUTOEVENTO="Manual",$M31=$A$15)),0,
         IF(OFFSET(CRONOPLE!$F$15,$M31-$A$15,AO$13)=0,10^12,OFFSET(CRONOPLE!$F$15,$M31-$A$15,AO$13)))</f>
        <v>1000000000000</v>
      </c>
      <c r="AP31" s="355" t="n">
        <f aca="true">IF(OR($D31&lt;&gt;"Serviço",AND(AUTOEVENTO="Manual",$M31=$A$15)),0,
         IF(OFFSET(CRONOPLE!$F$15,$M31-$A$15,AP$13)=0,10^12,OFFSET(CRONOPLE!$F$15,$M31-$A$15,AP$13)))</f>
        <v>1000000000000</v>
      </c>
      <c r="AQ31" s="355" t="n">
        <f aca="true">IF(OR($D31&lt;&gt;"Serviço",AND(AUTOEVENTO="Manual",$M31=$A$15)),0,
         IF(OFFSET(CRONOPLE!$F$15,$M31-$A$15,AQ$13)=0,10^12,OFFSET(CRONOPLE!$F$15,$M31-$A$15,AQ$13)))</f>
        <v>1000000000000</v>
      </c>
      <c r="AR31" s="355" t="n">
        <f aca="true">IF(OR($D31&lt;&gt;"Serviço",AND(AUTOEVENTO="Manual",$M31=$A$15)),0,
         IF(OFFSET(CRONOPLE!$F$15,$M31-$A$15,AR$13)=0,10^12,OFFSET(CRONOPLE!$F$15,$M31-$A$15,AR$13)))</f>
        <v>1000000000000</v>
      </c>
      <c r="AS31" s="355" t="n">
        <f aca="true">IF(OR($D31&lt;&gt;"Serviço",AND(AUTOEVENTO="Manual",$M31=$A$15)),0,
         IF(OFFSET(CRONOPLE!$F$15,$M31-$A$15,AS$13)=0,10^12,OFFSET(CRONOPLE!$F$15,$M31-$A$15,AS$13)))</f>
        <v>1000000000000</v>
      </c>
      <c r="AT31" s="355" t="n">
        <f aca="true">IF(OR($D31&lt;&gt;"Serviço",AND(AUTOEVENTO="Manual",$M31=$A$15)),0,
         IF(OFFSET(CRONOPLE!$F$15,$M31-$A$15,AT$13)=0,10^12,OFFSET(CRONOPLE!$F$15,$M31-$A$15,AT$13)))</f>
        <v>1000000000000</v>
      </c>
      <c r="AU31" s="355" t="n">
        <f aca="true">IF(OR($D31&lt;&gt;"Serviço",AND(AUTOEVENTO="Manual",$M31=$A$15)),0,
         IF(OFFSET(CRONOPLE!$F$15,$M31-$A$15,AU$13)=0,10^12,OFFSET(CRONOPLE!$F$15,$M31-$A$15,AU$13)))</f>
        <v>1000000000000</v>
      </c>
      <c r="AV31" s="355" t="n">
        <f aca="true">IF(OR($D31&lt;&gt;"Serviço",AND(AUTOEVENTO="Manual",$M31=$A$15)),0,
         IF(OFFSET(CRONOPLE!$F$15,$M31-$A$15,AV$13)=0,10^12,OFFSET(CRONOPLE!$F$15,$M31-$A$15,AV$13)))</f>
        <v>1000000000000</v>
      </c>
      <c r="AX31" s="356" t="n">
        <f aca="true" t="array" ref="AX31:AX31">IF(OR($D31&lt;&gt;"Serviço",AND(AUTOEVENTO="Manual",$M31=$A$15),$M31&gt;(ROW(PLE.lastrow)-ROW(PLE.firstrow))),0,
           IF(OFFSET(PLE!$G$15,$M31-$A$15,AX$13)="",10^12,OFFSET(PLE!$G$15,$M31-$A$15,AX$13)))</f>
        <v>1000000000000</v>
      </c>
      <c r="AY31" s="356" t="n">
        <f aca="true" t="array" ref="AY31:AY31">IF(OR($D31&lt;&gt;"Serviço",AND(AUTOEVENTO="Manual",$M31=$A$15),$M31&gt;(ROW(PLE.lastrow)-ROW(PLE.firstrow))),0,
           IF(OFFSET(PLE!$G$15,$M31-$A$15,AY$13)="",10^12,OFFSET(PLE!$G$15,$M31-$A$15,AY$13)))</f>
        <v>1000000000000</v>
      </c>
      <c r="AZ31" s="356" t="n">
        <f aca="true" t="array" ref="AZ31:AZ31">IF(OR($D31&lt;&gt;"Serviço",AND(AUTOEVENTO="Manual",$M31=$A$15),$M31&gt;(ROW(PLE.lastrow)-ROW(PLE.firstrow))),0,
           IF(OFFSET(PLE!$G$15,$M31-$A$15,AZ$13)="",10^12,OFFSET(PLE!$G$15,$M31-$A$15,AZ$13)))</f>
        <v>1000000000000</v>
      </c>
      <c r="BA31" s="356" t="n">
        <f aca="true" t="array" ref="BA31:BA31">IF(OR($D31&lt;&gt;"Serviço",AND(AUTOEVENTO="Manual",$M31=$A$15),$M31&gt;(ROW(PLE.lastrow)-ROW(PLE.firstrow))),0,
           IF(OFFSET(PLE!$G$15,$M31-$A$15,BA$13)="",10^12,OFFSET(PLE!$G$15,$M31-$A$15,BA$13)))</f>
        <v>1000000000000</v>
      </c>
      <c r="BB31" s="356" t="n">
        <f aca="true" t="array" ref="BB31:BB31">IF(OR($D31&lt;&gt;"Serviço",AND(AUTOEVENTO="Manual",$M31=$A$15),$M31&gt;(ROW(PLE.lastrow)-ROW(PLE.firstrow))),0,
           IF(OFFSET(PLE!$G$15,$M31-$A$15,BB$13)="",10^12,OFFSET(PLE!$G$15,$M31-$A$15,BB$13)))</f>
        <v>1000000000000</v>
      </c>
      <c r="BC31" s="356" t="n">
        <f aca="true" t="array" ref="BC31:BC31">IF(OR($D31&lt;&gt;"Serviço",AND(AUTOEVENTO="Manual",$M31=$A$15),$M31&gt;(ROW(PLE.lastrow)-ROW(PLE.firstrow))),0,
           IF(OFFSET(PLE!$G$15,$M31-$A$15,BC$13)="",10^12,OFFSET(PLE!$G$15,$M31-$A$15,BC$13)))</f>
        <v>1000000000000</v>
      </c>
      <c r="BD31" s="356" t="n">
        <f aca="true" t="array" ref="BD31:BD31">IF(OR($D31&lt;&gt;"Serviço",AND(AUTOEVENTO="Manual",$M31=$A$15),$M31&gt;(ROW(PLE.lastrow)-ROW(PLE.firstrow))),0,
           IF(OFFSET(PLE!$G$15,$M31-$A$15,BD$13)="",10^12,OFFSET(PLE!$G$15,$M31-$A$15,BD$13)))</f>
        <v>1000000000000</v>
      </c>
      <c r="BE31" s="356" t="n">
        <f aca="true" t="array" ref="BE31:BE31">IF(OR($D31&lt;&gt;"Serviço",AND(AUTOEVENTO="Manual",$M31=$A$15),$M31&gt;(ROW(PLE.lastrow)-ROW(PLE.firstrow))),0,
           IF(OFFSET(PLE!$G$15,$M31-$A$15,BE$13)="",10^12,OFFSET(PLE!$G$15,$M31-$A$15,BE$13)))</f>
        <v>1000000000000</v>
      </c>
      <c r="BF31" s="356" t="n">
        <f aca="true" t="array" ref="BF31:BF31">IF(OR($D31&lt;&gt;"Serviço",AND(AUTOEVENTO="Manual",$M31=$A$15),$M31&gt;(ROW(PLE.lastrow)-ROW(PLE.firstrow))),0,
           IF(OFFSET(PLE!$G$15,$M31-$A$15,BF$13)="",10^12,OFFSET(PLE!$G$15,$M31-$A$15,BF$13)))</f>
        <v>1000000000000</v>
      </c>
      <c r="BG31" s="356" t="n">
        <f aca="true" t="array" ref="BG31:BG31">IF(OR($D31&lt;&gt;"Serviço",AND(AUTOEVENTO="Manual",$M31=$A$15),$M31&gt;(ROW(PLE.lastrow)-ROW(PLE.firstrow))),0,
           IF(OFFSET(PLE!$G$15,$M31-$A$15,BG$13)="",10^12,OFFSET(PLE!$G$15,$M31-$A$15,BG$13)))</f>
        <v>1000000000000</v>
      </c>
    </row>
    <row r="32" customFormat="false" ht="12.75" hidden="false" customHeight="false" outlineLevel="0" collapsed="false">
      <c r="A32" s="48" t="str">
        <f aca="true">IFERROR(IF(AUTOEVENTO="Manual",IF(K32&lt;&gt;"",MIN(VALUE(LEFT(K32,FIND(".",K32)-1)),COUNTA(EVENTOS.Lista)),0),IF(OR($B32&gt;AUTOEVENTO,$B32="S",$B32=0),SUBSTITUTE(OFFSET($A32,-1,0),IF($D32="Serviço",".",""),""),$L32&amp;".")),0)</f>
        <v>17.</v>
      </c>
      <c r="B32" s="48" t="n">
        <f aca="true">OFFSET(ORÇAMENTO!C$15,$L32,0)</f>
        <v>2</v>
      </c>
      <c r="C32" s="48" t="str">
        <f aca="true">OFFSET(ORÇAMENTO!L$15,$L32,0)</f>
        <v>F</v>
      </c>
      <c r="D32" s="206" t="str">
        <f aca="true">OFFSET(ORÇAMENTO!N$15,$L32,0)</f>
        <v>Nível 2</v>
      </c>
      <c r="E32" s="207" t="str">
        <f aca="true">OFFSET(ORÇAMENTO!O$15,$L32,0)</f>
        <v>1.6.</v>
      </c>
      <c r="F32" s="343" t="str">
        <f aca="true">OFFSET(ORÇAMENTO!R$15,$L32,0)</f>
        <v>PLATAFORMA</v>
      </c>
      <c r="G32" s="344" t="str">
        <f aca="true">IF($D32&lt;&gt;"Serviço","",OFFSET(ORÇAMENTO!S$15,$L32,0))</f>
        <v/>
      </c>
      <c r="H32" s="212" t="n">
        <f aca="true" t="array" ref="H32:H32">IF($D32&lt;&gt;"Serviço",0,IF(ACOMPANHAMENTO="BM",ROUND(OFFSET(ORÇAMENTO!AJ$15,$L32,0),15-13*ORÇAMENTO!$AF$7),IF(IFERROR(CÁLCULO.FrentesPreenchidas,0)=0,0,SUM(ROUND(OFFSET($P32,0,1,1,CÁLCULO.FrentesPreenchidas),15-13*ORÇAMENTO!$AF$7)))))</f>
        <v>0</v>
      </c>
      <c r="I32" s="345"/>
      <c r="J32" s="346" t="str">
        <f aca="false" t="array" ref="J32:J32">IF(OR(B32&lt;&gt;"S",CÁLCULO.FrentesPreenchidas=0),"",IF(AND(ACOMPANHAMENTO="PLE",AUTOEVENTO="Manual",OR(H32&gt;0,ORÇAMENTO!AC32="QUANT."),OR(K32="",M32=0,N32="")),"►E",IF(AND(ACOMPANHAMENTO="PLE",ORÇAMENTO!AC32="QUANT."),"►Q",IF(AND(ACOMPANHAMENTO="PLE",H32&lt;&gt;SUMPRODUCT(($Q$1:$AA$1=1)*ROUND(Q32:AA32,15))),"►S",IF(AND(COUNTIF($P$11:$AA$11,"▼")=0,H32&gt;0,I32=""),"◄M","")))))</f>
        <v/>
      </c>
      <c r="K32" s="347"/>
      <c r="L32" s="348" t="n">
        <f aca="true">OFFSET(L32,-1,0)+1</f>
        <v>17</v>
      </c>
      <c r="M32" s="349" t="str">
        <f aca="true">IF($D32&lt;&gt;"Serviço","",
          IF(AUTOEVENTO="manual",$A32,
                IF(ISERROR(MATCH($A32,$A$15:OFFSET($A32,-1,0),0)),MAX($M$15:OFFSET(M32,-1,0))+1,
                      INDEX($M$15:OFFSET(M32,-1,0),MATCH($A32,$A$15:OFFSET($A32,-1,0),0)))))</f>
        <v/>
      </c>
      <c r="N32" s="350" t="str">
        <f aca="true">IF($D32&lt;&gt;"Serviço","",
         IF(AUTOEVENTO="Manual",
                IF($A32=0,"&lt;-- defina o número do agrupador",
                       OFFSET(EVENTOS!$D$15,$A32-$A$15,0)),
                OFFSET($F$15,$A32,0)))</f>
        <v/>
      </c>
      <c r="O32" s="351"/>
      <c r="Q32" s="351"/>
      <c r="R32" s="352"/>
      <c r="S32" s="352"/>
      <c r="T32" s="352"/>
      <c r="U32" s="352"/>
      <c r="V32" s="352"/>
      <c r="W32" s="352"/>
      <c r="X32" s="352"/>
      <c r="Y32" s="352"/>
      <c r="Z32" s="353"/>
      <c r="AB32" s="354" t="n">
        <f aca="true">IF(AND($D32="Serviço",AB$12&lt;&gt;0,$H32&gt;0,OR(AUTOEVENTO&lt;&gt;"manual",$M32&lt;&gt;$A$15)),
        IF(Import.TipoArredondamento&lt;&gt;"TransfereGOV",
              ROUND(OFFSET($P32,0,AB$13),15-13*ORÇAMENTO!$AF$7)/$H32*OFFSET(ORÇAMENTO!$X$15,ROW(AB32)-ROW(AB$15),0),
              ROUND(ROUND(OFFSET($P32,0,AB$13),15-13*ORÇAMENTO!$AF$7)*OFFSET(ORÇAMENTO!$W$15,ROW(AB32)-ROW(AB$15),0),15-13*ORÇAMENTO!$AF$11)),
         0)</f>
        <v>0</v>
      </c>
      <c r="AC32" s="354" t="n">
        <f aca="true">IF(AND($D32="Serviço",AC$12&lt;&gt;0,$H32&gt;0,OR(AUTOEVENTO&lt;&gt;"manual",$M32&lt;&gt;$A$15)),
        IF(Import.TipoArredondamento&lt;&gt;"TransfereGOV",
              ROUND(OFFSET($P32,0,AC$13),15-13*ORÇAMENTO!$AF$7)/$H32*OFFSET(ORÇAMENTO!$X$15,ROW(AC32)-ROW(AC$15),0),
              ROUND(ROUND(OFFSET($P32,0,AC$13),15-13*ORÇAMENTO!$AF$7)*OFFSET(ORÇAMENTO!$W$15,ROW(AC32)-ROW(AC$15),0),15-13*ORÇAMENTO!$AF$11)),
         0)</f>
        <v>0</v>
      </c>
      <c r="AD32" s="354" t="n">
        <f aca="true">IF(AND($D32="Serviço",AD$12&lt;&gt;0,$H32&gt;0,OR(AUTOEVENTO&lt;&gt;"manual",$M32&lt;&gt;$A$15)),
        IF(Import.TipoArredondamento&lt;&gt;"TransfereGOV",
              ROUND(OFFSET($P32,0,AD$13),15-13*ORÇAMENTO!$AF$7)/$H32*OFFSET(ORÇAMENTO!$X$15,ROW(AD32)-ROW(AD$15),0),
              ROUND(ROUND(OFFSET($P32,0,AD$13),15-13*ORÇAMENTO!$AF$7)*OFFSET(ORÇAMENTO!$W$15,ROW(AD32)-ROW(AD$15),0),15-13*ORÇAMENTO!$AF$11)),
         0)</f>
        <v>0</v>
      </c>
      <c r="AE32" s="354" t="n">
        <f aca="true">IF(AND($D32="Serviço",AE$12&lt;&gt;0,$H32&gt;0,OR(AUTOEVENTO&lt;&gt;"manual",$M32&lt;&gt;$A$15)),
        IF(Import.TipoArredondamento&lt;&gt;"TransfereGOV",
              ROUND(OFFSET($P32,0,AE$13),15-13*ORÇAMENTO!$AF$7)/$H32*OFFSET(ORÇAMENTO!$X$15,ROW(AE32)-ROW(AE$15),0),
              ROUND(ROUND(OFFSET($P32,0,AE$13),15-13*ORÇAMENTO!$AF$7)*OFFSET(ORÇAMENTO!$W$15,ROW(AE32)-ROW(AE$15),0),15-13*ORÇAMENTO!$AF$11)),
         0)</f>
        <v>0</v>
      </c>
      <c r="AF32" s="354" t="n">
        <f aca="true">IF(AND($D32="Serviço",AF$12&lt;&gt;0,$H32&gt;0,OR(AUTOEVENTO&lt;&gt;"manual",$M32&lt;&gt;$A$15)),
        IF(Import.TipoArredondamento&lt;&gt;"TransfereGOV",
              ROUND(OFFSET($P32,0,AF$13),15-13*ORÇAMENTO!$AF$7)/$H32*OFFSET(ORÇAMENTO!$X$15,ROW(AF32)-ROW(AF$15),0),
              ROUND(ROUND(OFFSET($P32,0,AF$13),15-13*ORÇAMENTO!$AF$7)*OFFSET(ORÇAMENTO!$W$15,ROW(AF32)-ROW(AF$15),0),15-13*ORÇAMENTO!$AF$11)),
         0)</f>
        <v>0</v>
      </c>
      <c r="AG32" s="354" t="n">
        <f aca="true">IF(AND($D32="Serviço",AG$12&lt;&gt;0,$H32&gt;0,OR(AUTOEVENTO&lt;&gt;"manual",$M32&lt;&gt;$A$15)),
        IF(Import.TipoArredondamento&lt;&gt;"TransfereGOV",
              ROUND(OFFSET($P32,0,AG$13),15-13*ORÇAMENTO!$AF$7)/$H32*OFFSET(ORÇAMENTO!$X$15,ROW(AG32)-ROW(AG$15),0),
              ROUND(ROUND(OFFSET($P32,0,AG$13),15-13*ORÇAMENTO!$AF$7)*OFFSET(ORÇAMENTO!$W$15,ROW(AG32)-ROW(AG$15),0),15-13*ORÇAMENTO!$AF$11)),
         0)</f>
        <v>0</v>
      </c>
      <c r="AH32" s="354" t="n">
        <f aca="true">IF(AND($D32="Serviço",AH$12&lt;&gt;0,$H32&gt;0,OR(AUTOEVENTO&lt;&gt;"manual",$M32&lt;&gt;$A$15)),
        IF(Import.TipoArredondamento&lt;&gt;"TransfereGOV",
              ROUND(OFFSET($P32,0,AH$13),15-13*ORÇAMENTO!$AF$7)/$H32*OFFSET(ORÇAMENTO!$X$15,ROW(AH32)-ROW(AH$15),0),
              ROUND(ROUND(OFFSET($P32,0,AH$13),15-13*ORÇAMENTO!$AF$7)*OFFSET(ORÇAMENTO!$W$15,ROW(AH32)-ROW(AH$15),0),15-13*ORÇAMENTO!$AF$11)),
         0)</f>
        <v>0</v>
      </c>
      <c r="AI32" s="354" t="n">
        <f aca="true">IF(AND($D32="Serviço",AI$12&lt;&gt;0,$H32&gt;0,OR(AUTOEVENTO&lt;&gt;"manual",$M32&lt;&gt;$A$15)),
        IF(Import.TipoArredondamento&lt;&gt;"TransfereGOV",
              ROUND(OFFSET($P32,0,AI$13),15-13*ORÇAMENTO!$AF$7)/$H32*OFFSET(ORÇAMENTO!$X$15,ROW(AI32)-ROW(AI$15),0),
              ROUND(ROUND(OFFSET($P32,0,AI$13),15-13*ORÇAMENTO!$AF$7)*OFFSET(ORÇAMENTO!$W$15,ROW(AI32)-ROW(AI$15),0),15-13*ORÇAMENTO!$AF$11)),
         0)</f>
        <v>0</v>
      </c>
      <c r="AJ32" s="354" t="n">
        <f aca="true">IF(AND($D32="Serviço",AJ$12&lt;&gt;0,$H32&gt;0,OR(AUTOEVENTO&lt;&gt;"manual",$M32&lt;&gt;$A$15)),
        IF(Import.TipoArredondamento&lt;&gt;"TransfereGOV",
              ROUND(OFFSET($P32,0,AJ$13),15-13*ORÇAMENTO!$AF$7)/$H32*OFFSET(ORÇAMENTO!$X$15,ROW(AJ32)-ROW(AJ$15),0),
              ROUND(ROUND(OFFSET($P32,0,AJ$13),15-13*ORÇAMENTO!$AF$7)*OFFSET(ORÇAMENTO!$W$15,ROW(AJ32)-ROW(AJ$15),0),15-13*ORÇAMENTO!$AF$11)),
         0)</f>
        <v>0</v>
      </c>
      <c r="AK32" s="354" t="n">
        <f aca="true">IF(AND($D32="Serviço",AK$12&lt;&gt;0,$H32&gt;0,OR(AUTOEVENTO&lt;&gt;"manual",$M32&lt;&gt;$A$15)),
        IF(Import.TipoArredondamento&lt;&gt;"TransfereGOV",
              ROUND(OFFSET($P32,0,AK$13),15-13*ORÇAMENTO!$AF$7)/$H32*OFFSET(ORÇAMENTO!$X$15,ROW(AK32)-ROW(AK$15),0),
              ROUND(ROUND(OFFSET($P32,0,AK$13),15-13*ORÇAMENTO!$AF$7)*OFFSET(ORÇAMENTO!$W$15,ROW(AK32)-ROW(AK$15),0),15-13*ORÇAMENTO!$AF$11)),
         0)</f>
        <v>0</v>
      </c>
      <c r="AM32" s="355" t="n">
        <f aca="true">IF(OR($D32&lt;&gt;"Serviço",AND(AUTOEVENTO="Manual",$M32=$A$15)),0,
         IF(OFFSET(CRONOPLE!$F$15,$M32-$A$15,AM$13)=0,10^12,OFFSET(CRONOPLE!$F$15,$M32-$A$15,AM$13)))</f>
        <v>0</v>
      </c>
      <c r="AN32" s="355" t="n">
        <f aca="true">IF(OR($D32&lt;&gt;"Serviço",AND(AUTOEVENTO="Manual",$M32=$A$15)),0,
         IF(OFFSET(CRONOPLE!$F$15,$M32-$A$15,AN$13)=0,10^12,OFFSET(CRONOPLE!$F$15,$M32-$A$15,AN$13)))</f>
        <v>0</v>
      </c>
      <c r="AO32" s="355" t="n">
        <f aca="true">IF(OR($D32&lt;&gt;"Serviço",AND(AUTOEVENTO="Manual",$M32=$A$15)),0,
         IF(OFFSET(CRONOPLE!$F$15,$M32-$A$15,AO$13)=0,10^12,OFFSET(CRONOPLE!$F$15,$M32-$A$15,AO$13)))</f>
        <v>0</v>
      </c>
      <c r="AP32" s="355" t="n">
        <f aca="true">IF(OR($D32&lt;&gt;"Serviço",AND(AUTOEVENTO="Manual",$M32=$A$15)),0,
         IF(OFFSET(CRONOPLE!$F$15,$M32-$A$15,AP$13)=0,10^12,OFFSET(CRONOPLE!$F$15,$M32-$A$15,AP$13)))</f>
        <v>0</v>
      </c>
      <c r="AQ32" s="355" t="n">
        <f aca="true">IF(OR($D32&lt;&gt;"Serviço",AND(AUTOEVENTO="Manual",$M32=$A$15)),0,
         IF(OFFSET(CRONOPLE!$F$15,$M32-$A$15,AQ$13)=0,10^12,OFFSET(CRONOPLE!$F$15,$M32-$A$15,AQ$13)))</f>
        <v>0</v>
      </c>
      <c r="AR32" s="355" t="n">
        <f aca="true">IF(OR($D32&lt;&gt;"Serviço",AND(AUTOEVENTO="Manual",$M32=$A$15)),0,
         IF(OFFSET(CRONOPLE!$F$15,$M32-$A$15,AR$13)=0,10^12,OFFSET(CRONOPLE!$F$15,$M32-$A$15,AR$13)))</f>
        <v>0</v>
      </c>
      <c r="AS32" s="355" t="n">
        <f aca="true">IF(OR($D32&lt;&gt;"Serviço",AND(AUTOEVENTO="Manual",$M32=$A$15)),0,
         IF(OFFSET(CRONOPLE!$F$15,$M32-$A$15,AS$13)=0,10^12,OFFSET(CRONOPLE!$F$15,$M32-$A$15,AS$13)))</f>
        <v>0</v>
      </c>
      <c r="AT32" s="355" t="n">
        <f aca="true">IF(OR($D32&lt;&gt;"Serviço",AND(AUTOEVENTO="Manual",$M32=$A$15)),0,
         IF(OFFSET(CRONOPLE!$F$15,$M32-$A$15,AT$13)=0,10^12,OFFSET(CRONOPLE!$F$15,$M32-$A$15,AT$13)))</f>
        <v>0</v>
      </c>
      <c r="AU32" s="355" t="n">
        <f aca="true">IF(OR($D32&lt;&gt;"Serviço",AND(AUTOEVENTO="Manual",$M32=$A$15)),0,
         IF(OFFSET(CRONOPLE!$F$15,$M32-$A$15,AU$13)=0,10^12,OFFSET(CRONOPLE!$F$15,$M32-$A$15,AU$13)))</f>
        <v>0</v>
      </c>
      <c r="AV32" s="355" t="n">
        <f aca="true">IF(OR($D32&lt;&gt;"Serviço",AND(AUTOEVENTO="Manual",$M32=$A$15)),0,
         IF(OFFSET(CRONOPLE!$F$15,$M32-$A$15,AV$13)=0,10^12,OFFSET(CRONOPLE!$F$15,$M32-$A$15,AV$13)))</f>
        <v>0</v>
      </c>
      <c r="AX32" s="356" t="n">
        <f aca="true" t="array" ref="AX32:AX32">IF(OR($D32&lt;&gt;"Serviço",AND(AUTOEVENTO="Manual",$M32=$A$15),$M32&gt;(ROW(PLE.lastrow)-ROW(PLE.firstrow))),0,
           IF(OFFSET(PLE!$G$15,$M32-$A$15,AX$13)="",10^12,OFFSET(PLE!$G$15,$M32-$A$15,AX$13)))</f>
        <v>0</v>
      </c>
      <c r="AY32" s="356" t="n">
        <f aca="true" t="array" ref="AY32:AY32">IF(OR($D32&lt;&gt;"Serviço",AND(AUTOEVENTO="Manual",$M32=$A$15),$M32&gt;(ROW(PLE.lastrow)-ROW(PLE.firstrow))),0,
           IF(OFFSET(PLE!$G$15,$M32-$A$15,AY$13)="",10^12,OFFSET(PLE!$G$15,$M32-$A$15,AY$13)))</f>
        <v>0</v>
      </c>
      <c r="AZ32" s="356" t="n">
        <f aca="true" t="array" ref="AZ32:AZ32">IF(OR($D32&lt;&gt;"Serviço",AND(AUTOEVENTO="Manual",$M32=$A$15),$M32&gt;(ROW(PLE.lastrow)-ROW(PLE.firstrow))),0,
           IF(OFFSET(PLE!$G$15,$M32-$A$15,AZ$13)="",10^12,OFFSET(PLE!$G$15,$M32-$A$15,AZ$13)))</f>
        <v>0</v>
      </c>
      <c r="BA32" s="356" t="n">
        <f aca="true" t="array" ref="BA32:BA32">IF(OR($D32&lt;&gt;"Serviço",AND(AUTOEVENTO="Manual",$M32=$A$15),$M32&gt;(ROW(PLE.lastrow)-ROW(PLE.firstrow))),0,
           IF(OFFSET(PLE!$G$15,$M32-$A$15,BA$13)="",10^12,OFFSET(PLE!$G$15,$M32-$A$15,BA$13)))</f>
        <v>0</v>
      </c>
      <c r="BB32" s="356" t="n">
        <f aca="true" t="array" ref="BB32:BB32">IF(OR($D32&lt;&gt;"Serviço",AND(AUTOEVENTO="Manual",$M32=$A$15),$M32&gt;(ROW(PLE.lastrow)-ROW(PLE.firstrow))),0,
           IF(OFFSET(PLE!$G$15,$M32-$A$15,BB$13)="",10^12,OFFSET(PLE!$G$15,$M32-$A$15,BB$13)))</f>
        <v>0</v>
      </c>
      <c r="BC32" s="356" t="n">
        <f aca="true" t="array" ref="BC32:BC32">IF(OR($D32&lt;&gt;"Serviço",AND(AUTOEVENTO="Manual",$M32=$A$15),$M32&gt;(ROW(PLE.lastrow)-ROW(PLE.firstrow))),0,
           IF(OFFSET(PLE!$G$15,$M32-$A$15,BC$13)="",10^12,OFFSET(PLE!$G$15,$M32-$A$15,BC$13)))</f>
        <v>0</v>
      </c>
      <c r="BD32" s="356" t="n">
        <f aca="true" t="array" ref="BD32:BD32">IF(OR($D32&lt;&gt;"Serviço",AND(AUTOEVENTO="Manual",$M32=$A$15),$M32&gt;(ROW(PLE.lastrow)-ROW(PLE.firstrow))),0,
           IF(OFFSET(PLE!$G$15,$M32-$A$15,BD$13)="",10^12,OFFSET(PLE!$G$15,$M32-$A$15,BD$13)))</f>
        <v>0</v>
      </c>
      <c r="BE32" s="356" t="n">
        <f aca="true" t="array" ref="BE32:BE32">IF(OR($D32&lt;&gt;"Serviço",AND(AUTOEVENTO="Manual",$M32=$A$15),$M32&gt;(ROW(PLE.lastrow)-ROW(PLE.firstrow))),0,
           IF(OFFSET(PLE!$G$15,$M32-$A$15,BE$13)="",10^12,OFFSET(PLE!$G$15,$M32-$A$15,BE$13)))</f>
        <v>0</v>
      </c>
      <c r="BF32" s="356" t="n">
        <f aca="true" t="array" ref="BF32:BF32">IF(OR($D32&lt;&gt;"Serviço",AND(AUTOEVENTO="Manual",$M32=$A$15),$M32&gt;(ROW(PLE.lastrow)-ROW(PLE.firstrow))),0,
           IF(OFFSET(PLE!$G$15,$M32-$A$15,BF$13)="",10^12,OFFSET(PLE!$G$15,$M32-$A$15,BF$13)))</f>
        <v>0</v>
      </c>
      <c r="BG32" s="356" t="n">
        <f aca="true" t="array" ref="BG32:BG32">IF(OR($D32&lt;&gt;"Serviço",AND(AUTOEVENTO="Manual",$M32=$A$15),$M32&gt;(ROW(PLE.lastrow)-ROW(PLE.firstrow))),0,
           IF(OFFSET(PLE!$G$15,$M32-$A$15,BG$13)="",10^12,OFFSET(PLE!$G$15,$M32-$A$15,BG$13)))</f>
        <v>0</v>
      </c>
    </row>
    <row r="33" customFormat="false" ht="68.65" hidden="false" customHeight="false" outlineLevel="0" collapsed="false">
      <c r="A33" s="48" t="str">
        <f aca="true">IFERROR(IF(AUTOEVENTO="Manual",IF(K33&lt;&gt;"",MIN(VALUE(LEFT(K33,FIND(".",K33)-1)),COUNTA(EVENTOS.Lista)),0),IF(OR($B33&gt;AUTOEVENTO,$B33="S",$B33=0),SUBSTITUTE(OFFSET($A33,-1,0),IF($D33="Serviço",".",""),""),$L33&amp;".")),0)</f>
        <v>17</v>
      </c>
      <c r="B33" s="48" t="str">
        <f aca="true">OFFSET(ORÇAMENTO!C$15,$L33,0)</f>
        <v>S</v>
      </c>
      <c r="C33" s="48" t="str">
        <f aca="true">OFFSET(ORÇAMENTO!L$15,$L33,0)</f>
        <v/>
      </c>
      <c r="D33" s="206" t="str">
        <f aca="true">OFFSET(ORÇAMENTO!N$15,$L33,0)</f>
        <v>Serviço</v>
      </c>
      <c r="E33" s="207" t="str">
        <f aca="true">OFFSET(ORÇAMENTO!O$15,$L33,0)</f>
        <v>-</v>
      </c>
      <c r="F33" s="343" t="str">
        <f aca="true">OFFSET(ORÇAMENTO!R$15,$L33,0)</f>
        <v>(Código não identificado nas referências)</v>
      </c>
      <c r="G33" s="344" t="str">
        <f aca="true">IF($D33&lt;&gt;"Serviço","",OFFSET(ORÇAMENTO!S$15,$L33,0))</f>
        <v>-</v>
      </c>
      <c r="H33" s="212" t="n">
        <f aca="true" t="array" ref="H33:H33">IF($D33&lt;&gt;"Serviço",0,IF(ACOMPANHAMENTO="BM",ROUND(OFFSET(ORÇAMENTO!AJ$15,$L33,0),15-13*ORÇAMENTO!$AF$7),IF(IFERROR(CÁLCULO.FrentesPreenchidas,0)=0,0,SUM(ROUND(OFFSET($P33,0,1,1,CÁLCULO.FrentesPreenchidas),15-13*ORÇAMENTO!$AF$7)))))</f>
        <v>186</v>
      </c>
      <c r="I33" s="345" t="s">
        <v>901</v>
      </c>
      <c r="J33" s="346" t="str">
        <f aca="false" t="array" ref="J33:J33">IF(OR(B33&lt;&gt;"S",CÁLCULO.FrentesPreenchidas=0),"",IF(AND(ACOMPANHAMENTO="PLE",AUTOEVENTO="Manual",OR(H33&gt;0,ORÇAMENTO!AC33="QUANT."),OR(K33="",M33=0,N33="")),"►E",IF(AND(ACOMPANHAMENTO="PLE",ORÇAMENTO!AC33="QUANT."),"►Q",IF(AND(ACOMPANHAMENTO="PLE",H33&lt;&gt;SUMPRODUCT(($Q$1:$AA$1=1)*ROUND(Q33:AA33,15))),"►S",IF(AND(COUNTIF($P$11:$AA$11,"▼")=0,H33&gt;0,I33=""),"◄M","")))))</f>
        <v/>
      </c>
      <c r="K33" s="347"/>
      <c r="L33" s="348" t="n">
        <f aca="true">OFFSET(L33,-1,0)+1</f>
        <v>18</v>
      </c>
      <c r="M33" s="349" t="n">
        <f aca="true">IF($D33&lt;&gt;"Serviço","",
          IF(AUTOEVENTO="manual",$A33,
                IF(ISERROR(MATCH($A33,$A$15:OFFSET($A33,-1,0),0)),MAX($M$15:OFFSET(M33,-1,0))+1,
                      INDEX($M$15:OFFSET(M33,-1,0),MATCH($A33,$A$15:OFFSET($A33,-1,0),0)))))</f>
        <v>6</v>
      </c>
      <c r="N33" s="350" t="str">
        <f aca="true">IF($D33&lt;&gt;"Serviço","",
         IF(AUTOEVENTO="Manual",
                IF($A33=0,"&lt;-- defina o número do agrupador",
                       OFFSET(EVENTOS!$D$15,$A33-$A$15,0)),
                OFFSET($F$15,$A33,0)))</f>
        <v>PLATAFORMA</v>
      </c>
      <c r="O33" s="351"/>
      <c r="Q33" s="351"/>
      <c r="R33" s="352"/>
      <c r="S33" s="352"/>
      <c r="T33" s="352"/>
      <c r="U33" s="352"/>
      <c r="V33" s="352"/>
      <c r="W33" s="352"/>
      <c r="X33" s="352"/>
      <c r="Y33" s="352"/>
      <c r="Z33" s="353"/>
      <c r="AB33" s="354" t="n">
        <f aca="true">IF(AND($D33="Serviço",AB$12&lt;&gt;0,$H33&gt;0,OR(AUTOEVENTO&lt;&gt;"manual",$M33&lt;&gt;$A$15)),
        IF(Import.TipoArredondamento&lt;&gt;"TransfereGOV",
              ROUND(OFFSET($P33,0,AB$13),15-13*ORÇAMENTO!$AF$7)/$H33*OFFSET(ORÇAMENTO!$X$15,ROW(AB33)-ROW(AB$15),0),
              ROUND(ROUND(OFFSET($P33,0,AB$13),15-13*ORÇAMENTO!$AF$7)*OFFSET(ORÇAMENTO!$W$15,ROW(AB33)-ROW(AB$15),0),15-13*ORÇAMENTO!$AF$11)),
         0)</f>
        <v>0</v>
      </c>
      <c r="AC33" s="354" t="n">
        <f aca="true">IF(AND($D33="Serviço",AC$12&lt;&gt;0,$H33&gt;0,OR(AUTOEVENTO&lt;&gt;"manual",$M33&lt;&gt;$A$15)),
        IF(Import.TipoArredondamento&lt;&gt;"TransfereGOV",
              ROUND(OFFSET($P33,0,AC$13),15-13*ORÇAMENTO!$AF$7)/$H33*OFFSET(ORÇAMENTO!$X$15,ROW(AC33)-ROW(AC$15),0),
              ROUND(ROUND(OFFSET($P33,0,AC$13),15-13*ORÇAMENTO!$AF$7)*OFFSET(ORÇAMENTO!$W$15,ROW(AC33)-ROW(AC$15),0),15-13*ORÇAMENTO!$AF$11)),
         0)</f>
        <v>0</v>
      </c>
      <c r="AD33" s="354" t="n">
        <f aca="true">IF(AND($D33="Serviço",AD$12&lt;&gt;0,$H33&gt;0,OR(AUTOEVENTO&lt;&gt;"manual",$M33&lt;&gt;$A$15)),
        IF(Import.TipoArredondamento&lt;&gt;"TransfereGOV",
              ROUND(OFFSET($P33,0,AD$13),15-13*ORÇAMENTO!$AF$7)/$H33*OFFSET(ORÇAMENTO!$X$15,ROW(AD33)-ROW(AD$15),0),
              ROUND(ROUND(OFFSET($P33,0,AD$13),15-13*ORÇAMENTO!$AF$7)*OFFSET(ORÇAMENTO!$W$15,ROW(AD33)-ROW(AD$15),0),15-13*ORÇAMENTO!$AF$11)),
         0)</f>
        <v>0</v>
      </c>
      <c r="AE33" s="354" t="n">
        <f aca="true">IF(AND($D33="Serviço",AE$12&lt;&gt;0,$H33&gt;0,OR(AUTOEVENTO&lt;&gt;"manual",$M33&lt;&gt;$A$15)),
        IF(Import.TipoArredondamento&lt;&gt;"TransfereGOV",
              ROUND(OFFSET($P33,0,AE$13),15-13*ORÇAMENTO!$AF$7)/$H33*OFFSET(ORÇAMENTO!$X$15,ROW(AE33)-ROW(AE$15),0),
              ROUND(ROUND(OFFSET($P33,0,AE$13),15-13*ORÇAMENTO!$AF$7)*OFFSET(ORÇAMENTO!$W$15,ROW(AE33)-ROW(AE$15),0),15-13*ORÇAMENTO!$AF$11)),
         0)</f>
        <v>0</v>
      </c>
      <c r="AF33" s="354" t="n">
        <f aca="true">IF(AND($D33="Serviço",AF$12&lt;&gt;0,$H33&gt;0,OR(AUTOEVENTO&lt;&gt;"manual",$M33&lt;&gt;$A$15)),
        IF(Import.TipoArredondamento&lt;&gt;"TransfereGOV",
              ROUND(OFFSET($P33,0,AF$13),15-13*ORÇAMENTO!$AF$7)/$H33*OFFSET(ORÇAMENTO!$X$15,ROW(AF33)-ROW(AF$15),0),
              ROUND(ROUND(OFFSET($P33,0,AF$13),15-13*ORÇAMENTO!$AF$7)*OFFSET(ORÇAMENTO!$W$15,ROW(AF33)-ROW(AF$15),0),15-13*ORÇAMENTO!$AF$11)),
         0)</f>
        <v>0</v>
      </c>
      <c r="AG33" s="354" t="n">
        <f aca="true">IF(AND($D33="Serviço",AG$12&lt;&gt;0,$H33&gt;0,OR(AUTOEVENTO&lt;&gt;"manual",$M33&lt;&gt;$A$15)),
        IF(Import.TipoArredondamento&lt;&gt;"TransfereGOV",
              ROUND(OFFSET($P33,0,AG$13),15-13*ORÇAMENTO!$AF$7)/$H33*OFFSET(ORÇAMENTO!$X$15,ROW(AG33)-ROW(AG$15),0),
              ROUND(ROUND(OFFSET($P33,0,AG$13),15-13*ORÇAMENTO!$AF$7)*OFFSET(ORÇAMENTO!$W$15,ROW(AG33)-ROW(AG$15),0),15-13*ORÇAMENTO!$AF$11)),
         0)</f>
        <v>0</v>
      </c>
      <c r="AH33" s="354" t="n">
        <f aca="true">IF(AND($D33="Serviço",AH$12&lt;&gt;0,$H33&gt;0,OR(AUTOEVENTO&lt;&gt;"manual",$M33&lt;&gt;$A$15)),
        IF(Import.TipoArredondamento&lt;&gt;"TransfereGOV",
              ROUND(OFFSET($P33,0,AH$13),15-13*ORÇAMENTO!$AF$7)/$H33*OFFSET(ORÇAMENTO!$X$15,ROW(AH33)-ROW(AH$15),0),
              ROUND(ROUND(OFFSET($P33,0,AH$13),15-13*ORÇAMENTO!$AF$7)*OFFSET(ORÇAMENTO!$W$15,ROW(AH33)-ROW(AH$15),0),15-13*ORÇAMENTO!$AF$11)),
         0)</f>
        <v>0</v>
      </c>
      <c r="AI33" s="354" t="n">
        <f aca="true">IF(AND($D33="Serviço",AI$12&lt;&gt;0,$H33&gt;0,OR(AUTOEVENTO&lt;&gt;"manual",$M33&lt;&gt;$A$15)),
        IF(Import.TipoArredondamento&lt;&gt;"TransfereGOV",
              ROUND(OFFSET($P33,0,AI$13),15-13*ORÇAMENTO!$AF$7)/$H33*OFFSET(ORÇAMENTO!$X$15,ROW(AI33)-ROW(AI$15),0),
              ROUND(ROUND(OFFSET($P33,0,AI$13),15-13*ORÇAMENTO!$AF$7)*OFFSET(ORÇAMENTO!$W$15,ROW(AI33)-ROW(AI$15),0),15-13*ORÇAMENTO!$AF$11)),
         0)</f>
        <v>0</v>
      </c>
      <c r="AJ33" s="354" t="n">
        <f aca="true">IF(AND($D33="Serviço",AJ$12&lt;&gt;0,$H33&gt;0,OR(AUTOEVENTO&lt;&gt;"manual",$M33&lt;&gt;$A$15)),
        IF(Import.TipoArredondamento&lt;&gt;"TransfereGOV",
              ROUND(OFFSET($P33,0,AJ$13),15-13*ORÇAMENTO!$AF$7)/$H33*OFFSET(ORÇAMENTO!$X$15,ROW(AJ33)-ROW(AJ$15),0),
              ROUND(ROUND(OFFSET($P33,0,AJ$13),15-13*ORÇAMENTO!$AF$7)*OFFSET(ORÇAMENTO!$W$15,ROW(AJ33)-ROW(AJ$15),0),15-13*ORÇAMENTO!$AF$11)),
         0)</f>
        <v>0</v>
      </c>
      <c r="AK33" s="354" t="n">
        <f aca="true">IF(AND($D33="Serviço",AK$12&lt;&gt;0,$H33&gt;0,OR(AUTOEVENTO&lt;&gt;"manual",$M33&lt;&gt;$A$15)),
        IF(Import.TipoArredondamento&lt;&gt;"TransfereGOV",
              ROUND(OFFSET($P33,0,AK$13),15-13*ORÇAMENTO!$AF$7)/$H33*OFFSET(ORÇAMENTO!$X$15,ROW(AK33)-ROW(AK$15),0),
              ROUND(ROUND(OFFSET($P33,0,AK$13),15-13*ORÇAMENTO!$AF$7)*OFFSET(ORÇAMENTO!$W$15,ROW(AK33)-ROW(AK$15),0),15-13*ORÇAMENTO!$AF$11)),
         0)</f>
        <v>0</v>
      </c>
      <c r="AM33" s="355" t="n">
        <f aca="true">IF(OR($D33&lt;&gt;"Serviço",AND(AUTOEVENTO="Manual",$M33=$A$15)),0,
         IF(OFFSET(CRONOPLE!$F$15,$M33-$A$15,AM$13)=0,10^12,OFFSET(CRONOPLE!$F$15,$M33-$A$15,AM$13)))</f>
        <v>1000000000000</v>
      </c>
      <c r="AN33" s="355" t="n">
        <f aca="true">IF(OR($D33&lt;&gt;"Serviço",AND(AUTOEVENTO="Manual",$M33=$A$15)),0,
         IF(OFFSET(CRONOPLE!$F$15,$M33-$A$15,AN$13)=0,10^12,OFFSET(CRONOPLE!$F$15,$M33-$A$15,AN$13)))</f>
        <v>1000000000000</v>
      </c>
      <c r="AO33" s="355" t="n">
        <f aca="true">IF(OR($D33&lt;&gt;"Serviço",AND(AUTOEVENTO="Manual",$M33=$A$15)),0,
         IF(OFFSET(CRONOPLE!$F$15,$M33-$A$15,AO$13)=0,10^12,OFFSET(CRONOPLE!$F$15,$M33-$A$15,AO$13)))</f>
        <v>1000000000000</v>
      </c>
      <c r="AP33" s="355" t="n">
        <f aca="true">IF(OR($D33&lt;&gt;"Serviço",AND(AUTOEVENTO="Manual",$M33=$A$15)),0,
         IF(OFFSET(CRONOPLE!$F$15,$M33-$A$15,AP$13)=0,10^12,OFFSET(CRONOPLE!$F$15,$M33-$A$15,AP$13)))</f>
        <v>1000000000000</v>
      </c>
      <c r="AQ33" s="355" t="n">
        <f aca="true">IF(OR($D33&lt;&gt;"Serviço",AND(AUTOEVENTO="Manual",$M33=$A$15)),0,
         IF(OFFSET(CRONOPLE!$F$15,$M33-$A$15,AQ$13)=0,10^12,OFFSET(CRONOPLE!$F$15,$M33-$A$15,AQ$13)))</f>
        <v>1000000000000</v>
      </c>
      <c r="AR33" s="355" t="n">
        <f aca="true">IF(OR($D33&lt;&gt;"Serviço",AND(AUTOEVENTO="Manual",$M33=$A$15)),0,
         IF(OFFSET(CRONOPLE!$F$15,$M33-$A$15,AR$13)=0,10^12,OFFSET(CRONOPLE!$F$15,$M33-$A$15,AR$13)))</f>
        <v>1000000000000</v>
      </c>
      <c r="AS33" s="355" t="n">
        <f aca="true">IF(OR($D33&lt;&gt;"Serviço",AND(AUTOEVENTO="Manual",$M33=$A$15)),0,
         IF(OFFSET(CRONOPLE!$F$15,$M33-$A$15,AS$13)=0,10^12,OFFSET(CRONOPLE!$F$15,$M33-$A$15,AS$13)))</f>
        <v>1000000000000</v>
      </c>
      <c r="AT33" s="355" t="n">
        <f aca="true">IF(OR($D33&lt;&gt;"Serviço",AND(AUTOEVENTO="Manual",$M33=$A$15)),0,
         IF(OFFSET(CRONOPLE!$F$15,$M33-$A$15,AT$13)=0,10^12,OFFSET(CRONOPLE!$F$15,$M33-$A$15,AT$13)))</f>
        <v>1000000000000</v>
      </c>
      <c r="AU33" s="355" t="n">
        <f aca="true">IF(OR($D33&lt;&gt;"Serviço",AND(AUTOEVENTO="Manual",$M33=$A$15)),0,
         IF(OFFSET(CRONOPLE!$F$15,$M33-$A$15,AU$13)=0,10^12,OFFSET(CRONOPLE!$F$15,$M33-$A$15,AU$13)))</f>
        <v>1000000000000</v>
      </c>
      <c r="AV33" s="355" t="n">
        <f aca="true">IF(OR($D33&lt;&gt;"Serviço",AND(AUTOEVENTO="Manual",$M33=$A$15)),0,
         IF(OFFSET(CRONOPLE!$F$15,$M33-$A$15,AV$13)=0,10^12,OFFSET(CRONOPLE!$F$15,$M33-$A$15,AV$13)))</f>
        <v>1000000000000</v>
      </c>
      <c r="AX33" s="356" t="n">
        <f aca="true" t="array" ref="AX33:AX33">IF(OR($D33&lt;&gt;"Serviço",AND(AUTOEVENTO="Manual",$M33=$A$15),$M33&gt;(ROW(PLE.lastrow)-ROW(PLE.firstrow))),0,
           IF(OFFSET(PLE!$G$15,$M33-$A$15,AX$13)="",10^12,OFFSET(PLE!$G$15,$M33-$A$15,AX$13)))</f>
        <v>1000000000000</v>
      </c>
      <c r="AY33" s="356" t="n">
        <f aca="true" t="array" ref="AY33:AY33">IF(OR($D33&lt;&gt;"Serviço",AND(AUTOEVENTO="Manual",$M33=$A$15),$M33&gt;(ROW(PLE.lastrow)-ROW(PLE.firstrow))),0,
           IF(OFFSET(PLE!$G$15,$M33-$A$15,AY$13)="",10^12,OFFSET(PLE!$G$15,$M33-$A$15,AY$13)))</f>
        <v>1000000000000</v>
      </c>
      <c r="AZ33" s="356" t="n">
        <f aca="true" t="array" ref="AZ33:AZ33">IF(OR($D33&lt;&gt;"Serviço",AND(AUTOEVENTO="Manual",$M33=$A$15),$M33&gt;(ROW(PLE.lastrow)-ROW(PLE.firstrow))),0,
           IF(OFFSET(PLE!$G$15,$M33-$A$15,AZ$13)="",10^12,OFFSET(PLE!$G$15,$M33-$A$15,AZ$13)))</f>
        <v>1000000000000</v>
      </c>
      <c r="BA33" s="356" t="n">
        <f aca="true" t="array" ref="BA33:BA33">IF(OR($D33&lt;&gt;"Serviço",AND(AUTOEVENTO="Manual",$M33=$A$15),$M33&gt;(ROW(PLE.lastrow)-ROW(PLE.firstrow))),0,
           IF(OFFSET(PLE!$G$15,$M33-$A$15,BA$13)="",10^12,OFFSET(PLE!$G$15,$M33-$A$15,BA$13)))</f>
        <v>1000000000000</v>
      </c>
      <c r="BB33" s="356" t="n">
        <f aca="true" t="array" ref="BB33:BB33">IF(OR($D33&lt;&gt;"Serviço",AND(AUTOEVENTO="Manual",$M33=$A$15),$M33&gt;(ROW(PLE.lastrow)-ROW(PLE.firstrow))),0,
           IF(OFFSET(PLE!$G$15,$M33-$A$15,BB$13)="",10^12,OFFSET(PLE!$G$15,$M33-$A$15,BB$13)))</f>
        <v>1000000000000</v>
      </c>
      <c r="BC33" s="356" t="n">
        <f aca="true" t="array" ref="BC33:BC33">IF(OR($D33&lt;&gt;"Serviço",AND(AUTOEVENTO="Manual",$M33=$A$15),$M33&gt;(ROW(PLE.lastrow)-ROW(PLE.firstrow))),0,
           IF(OFFSET(PLE!$G$15,$M33-$A$15,BC$13)="",10^12,OFFSET(PLE!$G$15,$M33-$A$15,BC$13)))</f>
        <v>1000000000000</v>
      </c>
      <c r="BD33" s="356" t="n">
        <f aca="true" t="array" ref="BD33:BD33">IF(OR($D33&lt;&gt;"Serviço",AND(AUTOEVENTO="Manual",$M33=$A$15),$M33&gt;(ROW(PLE.lastrow)-ROW(PLE.firstrow))),0,
           IF(OFFSET(PLE!$G$15,$M33-$A$15,BD$13)="",10^12,OFFSET(PLE!$G$15,$M33-$A$15,BD$13)))</f>
        <v>1000000000000</v>
      </c>
      <c r="BE33" s="356" t="n">
        <f aca="true" t="array" ref="BE33:BE33">IF(OR($D33&lt;&gt;"Serviço",AND(AUTOEVENTO="Manual",$M33=$A$15),$M33&gt;(ROW(PLE.lastrow)-ROW(PLE.firstrow))),0,
           IF(OFFSET(PLE!$G$15,$M33-$A$15,BE$13)="",10^12,OFFSET(PLE!$G$15,$M33-$A$15,BE$13)))</f>
        <v>1000000000000</v>
      </c>
      <c r="BF33" s="356" t="n">
        <f aca="true" t="array" ref="BF33:BF33">IF(OR($D33&lt;&gt;"Serviço",AND(AUTOEVENTO="Manual",$M33=$A$15),$M33&gt;(ROW(PLE.lastrow)-ROW(PLE.firstrow))),0,
           IF(OFFSET(PLE!$G$15,$M33-$A$15,BF$13)="",10^12,OFFSET(PLE!$G$15,$M33-$A$15,BF$13)))</f>
        <v>1000000000000</v>
      </c>
      <c r="BG33" s="356" t="n">
        <f aca="true" t="array" ref="BG33:BG33">IF(OR($D33&lt;&gt;"Serviço",AND(AUTOEVENTO="Manual",$M33=$A$15),$M33&gt;(ROW(PLE.lastrow)-ROW(PLE.firstrow))),0,
           IF(OFFSET(PLE!$G$15,$M33-$A$15,BG$13)="",10^12,OFFSET(PLE!$G$15,$M33-$A$15,BG$13)))</f>
        <v>1000000000000</v>
      </c>
    </row>
    <row r="34" customFormat="false" ht="68.65" hidden="false" customHeight="false" outlineLevel="0" collapsed="false">
      <c r="A34" s="48" t="str">
        <f aca="true">IFERROR(IF(AUTOEVENTO="Manual",IF(K34&lt;&gt;"",MIN(VALUE(LEFT(K34,FIND(".",K34)-1)),COUNTA(EVENTOS.Lista)),0),IF(OR($B34&gt;AUTOEVENTO,$B34="S",$B34=0),SUBSTITUTE(OFFSET($A34,-1,0),IF($D34="Serviço",".",""),""),$L34&amp;".")),0)</f>
        <v>17</v>
      </c>
      <c r="B34" s="48" t="str">
        <f aca="true">OFFSET(ORÇAMENTO!C$15,$L34,0)</f>
        <v>S</v>
      </c>
      <c r="C34" s="48" t="str">
        <f aca="true">OFFSET(ORÇAMENTO!L$15,$L34,0)</f>
        <v/>
      </c>
      <c r="D34" s="206" t="str">
        <f aca="true">OFFSET(ORÇAMENTO!N$15,$L34,0)</f>
        <v>Serviço</v>
      </c>
      <c r="E34" s="207" t="str">
        <f aca="true">OFFSET(ORÇAMENTO!O$15,$L34,0)</f>
        <v>-</v>
      </c>
      <c r="F34" s="343" t="str">
        <f aca="true">OFFSET(ORÇAMENTO!R$15,$L34,0)</f>
        <v>(Código não identificado nas referências)</v>
      </c>
      <c r="G34" s="344" t="str">
        <f aca="true">IF($D34&lt;&gt;"Serviço","",OFFSET(ORÇAMENTO!S$15,$L34,0))</f>
        <v>-</v>
      </c>
      <c r="H34" s="212" t="n">
        <f aca="true" t="array" ref="H34:H34">IF($D34&lt;&gt;"Serviço",0,IF(ACOMPANHAMENTO="BM",ROUND(OFFSET(ORÇAMENTO!AJ$15,$L34,0),15-13*ORÇAMENTO!$AF$7),IF(IFERROR(CÁLCULO.FrentesPreenchidas,0)=0,0,SUM(ROUND(OFFSET($P34,0,1,1,CÁLCULO.FrentesPreenchidas),15-13*ORÇAMENTO!$AF$7)))))</f>
        <v>186</v>
      </c>
      <c r="I34" s="345" t="s">
        <v>902</v>
      </c>
      <c r="J34" s="346" t="str">
        <f aca="false" t="array" ref="J34:J34">IF(OR(B34&lt;&gt;"S",CÁLCULO.FrentesPreenchidas=0),"",IF(AND(ACOMPANHAMENTO="PLE",AUTOEVENTO="Manual",OR(H34&gt;0,ORÇAMENTO!AC34="QUANT."),OR(K34="",M34=0,N34="")),"►E",IF(AND(ACOMPANHAMENTO="PLE",ORÇAMENTO!AC34="QUANT."),"►Q",IF(AND(ACOMPANHAMENTO="PLE",H34&lt;&gt;SUMPRODUCT(($Q$1:$AA$1=1)*ROUND(Q34:AA34,15))),"►S",IF(AND(COUNTIF($P$11:$AA$11,"▼")=0,H34&gt;0,I34=""),"◄M","")))))</f>
        <v/>
      </c>
      <c r="K34" s="347"/>
      <c r="L34" s="348" t="n">
        <f aca="true">OFFSET(L34,-1,0)+1</f>
        <v>19</v>
      </c>
      <c r="M34" s="349" t="n">
        <f aca="true">IF($D34&lt;&gt;"Serviço","",
          IF(AUTOEVENTO="manual",$A34,
                IF(ISERROR(MATCH($A34,$A$15:OFFSET($A34,-1,0),0)),MAX($M$15:OFFSET(M34,-1,0))+1,
                      INDEX($M$15:OFFSET(M34,-1,0),MATCH($A34,$A$15:OFFSET($A34,-1,0),0)))))</f>
        <v>6</v>
      </c>
      <c r="N34" s="350" t="str">
        <f aca="true">IF($D34&lt;&gt;"Serviço","",
         IF(AUTOEVENTO="Manual",
                IF($A34=0,"&lt;-- defina o número do agrupador",
                       OFFSET(EVENTOS!$D$15,$A34-$A$15,0)),
                OFFSET($F$15,$A34,0)))</f>
        <v>PLATAFORMA</v>
      </c>
      <c r="O34" s="351"/>
      <c r="Q34" s="351"/>
      <c r="R34" s="352"/>
      <c r="S34" s="352"/>
      <c r="T34" s="352"/>
      <c r="U34" s="352"/>
      <c r="V34" s="352"/>
      <c r="W34" s="352"/>
      <c r="X34" s="352"/>
      <c r="Y34" s="352"/>
      <c r="Z34" s="353"/>
      <c r="AB34" s="354" t="n">
        <f aca="true">IF(AND($D34="Serviço",AB$12&lt;&gt;0,$H34&gt;0,OR(AUTOEVENTO&lt;&gt;"manual",$M34&lt;&gt;$A$15)),
        IF(Import.TipoArredondamento&lt;&gt;"TransfereGOV",
              ROUND(OFFSET($P34,0,AB$13),15-13*ORÇAMENTO!$AF$7)/$H34*OFFSET(ORÇAMENTO!$X$15,ROW(AB34)-ROW(AB$15),0),
              ROUND(ROUND(OFFSET($P34,0,AB$13),15-13*ORÇAMENTO!$AF$7)*OFFSET(ORÇAMENTO!$W$15,ROW(AB34)-ROW(AB$15),0),15-13*ORÇAMENTO!$AF$11)),
         0)</f>
        <v>0</v>
      </c>
      <c r="AC34" s="354" t="n">
        <f aca="true">IF(AND($D34="Serviço",AC$12&lt;&gt;0,$H34&gt;0,OR(AUTOEVENTO&lt;&gt;"manual",$M34&lt;&gt;$A$15)),
        IF(Import.TipoArredondamento&lt;&gt;"TransfereGOV",
              ROUND(OFFSET($P34,0,AC$13),15-13*ORÇAMENTO!$AF$7)/$H34*OFFSET(ORÇAMENTO!$X$15,ROW(AC34)-ROW(AC$15),0),
              ROUND(ROUND(OFFSET($P34,0,AC$13),15-13*ORÇAMENTO!$AF$7)*OFFSET(ORÇAMENTO!$W$15,ROW(AC34)-ROW(AC$15),0),15-13*ORÇAMENTO!$AF$11)),
         0)</f>
        <v>0</v>
      </c>
      <c r="AD34" s="354" t="n">
        <f aca="true">IF(AND($D34="Serviço",AD$12&lt;&gt;0,$H34&gt;0,OR(AUTOEVENTO&lt;&gt;"manual",$M34&lt;&gt;$A$15)),
        IF(Import.TipoArredondamento&lt;&gt;"TransfereGOV",
              ROUND(OFFSET($P34,0,AD$13),15-13*ORÇAMENTO!$AF$7)/$H34*OFFSET(ORÇAMENTO!$X$15,ROW(AD34)-ROW(AD$15),0),
              ROUND(ROUND(OFFSET($P34,0,AD$13),15-13*ORÇAMENTO!$AF$7)*OFFSET(ORÇAMENTO!$W$15,ROW(AD34)-ROW(AD$15),0),15-13*ORÇAMENTO!$AF$11)),
         0)</f>
        <v>0</v>
      </c>
      <c r="AE34" s="354" t="n">
        <f aca="true">IF(AND($D34="Serviço",AE$12&lt;&gt;0,$H34&gt;0,OR(AUTOEVENTO&lt;&gt;"manual",$M34&lt;&gt;$A$15)),
        IF(Import.TipoArredondamento&lt;&gt;"TransfereGOV",
              ROUND(OFFSET($P34,0,AE$13),15-13*ORÇAMENTO!$AF$7)/$H34*OFFSET(ORÇAMENTO!$X$15,ROW(AE34)-ROW(AE$15),0),
              ROUND(ROUND(OFFSET($P34,0,AE$13),15-13*ORÇAMENTO!$AF$7)*OFFSET(ORÇAMENTO!$W$15,ROW(AE34)-ROW(AE$15),0),15-13*ORÇAMENTO!$AF$11)),
         0)</f>
        <v>0</v>
      </c>
      <c r="AF34" s="354" t="n">
        <f aca="true">IF(AND($D34="Serviço",AF$12&lt;&gt;0,$H34&gt;0,OR(AUTOEVENTO&lt;&gt;"manual",$M34&lt;&gt;$A$15)),
        IF(Import.TipoArredondamento&lt;&gt;"TransfereGOV",
              ROUND(OFFSET($P34,0,AF$13),15-13*ORÇAMENTO!$AF$7)/$H34*OFFSET(ORÇAMENTO!$X$15,ROW(AF34)-ROW(AF$15),0),
              ROUND(ROUND(OFFSET($P34,0,AF$13),15-13*ORÇAMENTO!$AF$7)*OFFSET(ORÇAMENTO!$W$15,ROW(AF34)-ROW(AF$15),0),15-13*ORÇAMENTO!$AF$11)),
         0)</f>
        <v>0</v>
      </c>
      <c r="AG34" s="354" t="n">
        <f aca="true">IF(AND($D34="Serviço",AG$12&lt;&gt;0,$H34&gt;0,OR(AUTOEVENTO&lt;&gt;"manual",$M34&lt;&gt;$A$15)),
        IF(Import.TipoArredondamento&lt;&gt;"TransfereGOV",
              ROUND(OFFSET($P34,0,AG$13),15-13*ORÇAMENTO!$AF$7)/$H34*OFFSET(ORÇAMENTO!$X$15,ROW(AG34)-ROW(AG$15),0),
              ROUND(ROUND(OFFSET($P34,0,AG$13),15-13*ORÇAMENTO!$AF$7)*OFFSET(ORÇAMENTO!$W$15,ROW(AG34)-ROW(AG$15),0),15-13*ORÇAMENTO!$AF$11)),
         0)</f>
        <v>0</v>
      </c>
      <c r="AH34" s="354" t="n">
        <f aca="true">IF(AND($D34="Serviço",AH$12&lt;&gt;0,$H34&gt;0,OR(AUTOEVENTO&lt;&gt;"manual",$M34&lt;&gt;$A$15)),
        IF(Import.TipoArredondamento&lt;&gt;"TransfereGOV",
              ROUND(OFFSET($P34,0,AH$13),15-13*ORÇAMENTO!$AF$7)/$H34*OFFSET(ORÇAMENTO!$X$15,ROW(AH34)-ROW(AH$15),0),
              ROUND(ROUND(OFFSET($P34,0,AH$13),15-13*ORÇAMENTO!$AF$7)*OFFSET(ORÇAMENTO!$W$15,ROW(AH34)-ROW(AH$15),0),15-13*ORÇAMENTO!$AF$11)),
         0)</f>
        <v>0</v>
      </c>
      <c r="AI34" s="354" t="n">
        <f aca="true">IF(AND($D34="Serviço",AI$12&lt;&gt;0,$H34&gt;0,OR(AUTOEVENTO&lt;&gt;"manual",$M34&lt;&gt;$A$15)),
        IF(Import.TipoArredondamento&lt;&gt;"TransfereGOV",
              ROUND(OFFSET($P34,0,AI$13),15-13*ORÇAMENTO!$AF$7)/$H34*OFFSET(ORÇAMENTO!$X$15,ROW(AI34)-ROW(AI$15),0),
              ROUND(ROUND(OFFSET($P34,0,AI$13),15-13*ORÇAMENTO!$AF$7)*OFFSET(ORÇAMENTO!$W$15,ROW(AI34)-ROW(AI$15),0),15-13*ORÇAMENTO!$AF$11)),
         0)</f>
        <v>0</v>
      </c>
      <c r="AJ34" s="354" t="n">
        <f aca="true">IF(AND($D34="Serviço",AJ$12&lt;&gt;0,$H34&gt;0,OR(AUTOEVENTO&lt;&gt;"manual",$M34&lt;&gt;$A$15)),
        IF(Import.TipoArredondamento&lt;&gt;"TransfereGOV",
              ROUND(OFFSET($P34,0,AJ$13),15-13*ORÇAMENTO!$AF$7)/$H34*OFFSET(ORÇAMENTO!$X$15,ROW(AJ34)-ROW(AJ$15),0),
              ROUND(ROUND(OFFSET($P34,0,AJ$13),15-13*ORÇAMENTO!$AF$7)*OFFSET(ORÇAMENTO!$W$15,ROW(AJ34)-ROW(AJ$15),0),15-13*ORÇAMENTO!$AF$11)),
         0)</f>
        <v>0</v>
      </c>
      <c r="AK34" s="354" t="n">
        <f aca="true">IF(AND($D34="Serviço",AK$12&lt;&gt;0,$H34&gt;0,OR(AUTOEVENTO&lt;&gt;"manual",$M34&lt;&gt;$A$15)),
        IF(Import.TipoArredondamento&lt;&gt;"TransfereGOV",
              ROUND(OFFSET($P34,0,AK$13),15-13*ORÇAMENTO!$AF$7)/$H34*OFFSET(ORÇAMENTO!$X$15,ROW(AK34)-ROW(AK$15),0),
              ROUND(ROUND(OFFSET($P34,0,AK$13),15-13*ORÇAMENTO!$AF$7)*OFFSET(ORÇAMENTO!$W$15,ROW(AK34)-ROW(AK$15),0),15-13*ORÇAMENTO!$AF$11)),
         0)</f>
        <v>0</v>
      </c>
      <c r="AM34" s="355" t="n">
        <f aca="true">IF(OR($D34&lt;&gt;"Serviço",AND(AUTOEVENTO="Manual",$M34=$A$15)),0,
         IF(OFFSET(CRONOPLE!$F$15,$M34-$A$15,AM$13)=0,10^12,OFFSET(CRONOPLE!$F$15,$M34-$A$15,AM$13)))</f>
        <v>1000000000000</v>
      </c>
      <c r="AN34" s="355" t="n">
        <f aca="true">IF(OR($D34&lt;&gt;"Serviço",AND(AUTOEVENTO="Manual",$M34=$A$15)),0,
         IF(OFFSET(CRONOPLE!$F$15,$M34-$A$15,AN$13)=0,10^12,OFFSET(CRONOPLE!$F$15,$M34-$A$15,AN$13)))</f>
        <v>1000000000000</v>
      </c>
      <c r="AO34" s="355" t="n">
        <f aca="true">IF(OR($D34&lt;&gt;"Serviço",AND(AUTOEVENTO="Manual",$M34=$A$15)),0,
         IF(OFFSET(CRONOPLE!$F$15,$M34-$A$15,AO$13)=0,10^12,OFFSET(CRONOPLE!$F$15,$M34-$A$15,AO$13)))</f>
        <v>1000000000000</v>
      </c>
      <c r="AP34" s="355" t="n">
        <f aca="true">IF(OR($D34&lt;&gt;"Serviço",AND(AUTOEVENTO="Manual",$M34=$A$15)),0,
         IF(OFFSET(CRONOPLE!$F$15,$M34-$A$15,AP$13)=0,10^12,OFFSET(CRONOPLE!$F$15,$M34-$A$15,AP$13)))</f>
        <v>1000000000000</v>
      </c>
      <c r="AQ34" s="355" t="n">
        <f aca="true">IF(OR($D34&lt;&gt;"Serviço",AND(AUTOEVENTO="Manual",$M34=$A$15)),0,
         IF(OFFSET(CRONOPLE!$F$15,$M34-$A$15,AQ$13)=0,10^12,OFFSET(CRONOPLE!$F$15,$M34-$A$15,AQ$13)))</f>
        <v>1000000000000</v>
      </c>
      <c r="AR34" s="355" t="n">
        <f aca="true">IF(OR($D34&lt;&gt;"Serviço",AND(AUTOEVENTO="Manual",$M34=$A$15)),0,
         IF(OFFSET(CRONOPLE!$F$15,$M34-$A$15,AR$13)=0,10^12,OFFSET(CRONOPLE!$F$15,$M34-$A$15,AR$13)))</f>
        <v>1000000000000</v>
      </c>
      <c r="AS34" s="355" t="n">
        <f aca="true">IF(OR($D34&lt;&gt;"Serviço",AND(AUTOEVENTO="Manual",$M34=$A$15)),0,
         IF(OFFSET(CRONOPLE!$F$15,$M34-$A$15,AS$13)=0,10^12,OFFSET(CRONOPLE!$F$15,$M34-$A$15,AS$13)))</f>
        <v>1000000000000</v>
      </c>
      <c r="AT34" s="355" t="n">
        <f aca="true">IF(OR($D34&lt;&gt;"Serviço",AND(AUTOEVENTO="Manual",$M34=$A$15)),0,
         IF(OFFSET(CRONOPLE!$F$15,$M34-$A$15,AT$13)=0,10^12,OFFSET(CRONOPLE!$F$15,$M34-$A$15,AT$13)))</f>
        <v>1000000000000</v>
      </c>
      <c r="AU34" s="355" t="n">
        <f aca="true">IF(OR($D34&lt;&gt;"Serviço",AND(AUTOEVENTO="Manual",$M34=$A$15)),0,
         IF(OFFSET(CRONOPLE!$F$15,$M34-$A$15,AU$13)=0,10^12,OFFSET(CRONOPLE!$F$15,$M34-$A$15,AU$13)))</f>
        <v>1000000000000</v>
      </c>
      <c r="AV34" s="355" t="n">
        <f aca="true">IF(OR($D34&lt;&gt;"Serviço",AND(AUTOEVENTO="Manual",$M34=$A$15)),0,
         IF(OFFSET(CRONOPLE!$F$15,$M34-$A$15,AV$13)=0,10^12,OFFSET(CRONOPLE!$F$15,$M34-$A$15,AV$13)))</f>
        <v>1000000000000</v>
      </c>
      <c r="AX34" s="356" t="n">
        <f aca="true" t="array" ref="AX34:AX34">IF(OR($D34&lt;&gt;"Serviço",AND(AUTOEVENTO="Manual",$M34=$A$15),$M34&gt;(ROW(PLE.lastrow)-ROW(PLE.firstrow))),0,
           IF(OFFSET(PLE!$G$15,$M34-$A$15,AX$13)="",10^12,OFFSET(PLE!$G$15,$M34-$A$15,AX$13)))</f>
        <v>1000000000000</v>
      </c>
      <c r="AY34" s="356" t="n">
        <f aca="true" t="array" ref="AY34:AY34">IF(OR($D34&lt;&gt;"Serviço",AND(AUTOEVENTO="Manual",$M34=$A$15),$M34&gt;(ROW(PLE.lastrow)-ROW(PLE.firstrow))),0,
           IF(OFFSET(PLE!$G$15,$M34-$A$15,AY$13)="",10^12,OFFSET(PLE!$G$15,$M34-$A$15,AY$13)))</f>
        <v>1000000000000</v>
      </c>
      <c r="AZ34" s="356" t="n">
        <f aca="true" t="array" ref="AZ34:AZ34">IF(OR($D34&lt;&gt;"Serviço",AND(AUTOEVENTO="Manual",$M34=$A$15),$M34&gt;(ROW(PLE.lastrow)-ROW(PLE.firstrow))),0,
           IF(OFFSET(PLE!$G$15,$M34-$A$15,AZ$13)="",10^12,OFFSET(PLE!$G$15,$M34-$A$15,AZ$13)))</f>
        <v>1000000000000</v>
      </c>
      <c r="BA34" s="356" t="n">
        <f aca="true" t="array" ref="BA34:BA34">IF(OR($D34&lt;&gt;"Serviço",AND(AUTOEVENTO="Manual",$M34=$A$15),$M34&gt;(ROW(PLE.lastrow)-ROW(PLE.firstrow))),0,
           IF(OFFSET(PLE!$G$15,$M34-$A$15,BA$13)="",10^12,OFFSET(PLE!$G$15,$M34-$A$15,BA$13)))</f>
        <v>1000000000000</v>
      </c>
      <c r="BB34" s="356" t="n">
        <f aca="true" t="array" ref="BB34:BB34">IF(OR($D34&lt;&gt;"Serviço",AND(AUTOEVENTO="Manual",$M34=$A$15),$M34&gt;(ROW(PLE.lastrow)-ROW(PLE.firstrow))),0,
           IF(OFFSET(PLE!$G$15,$M34-$A$15,BB$13)="",10^12,OFFSET(PLE!$G$15,$M34-$A$15,BB$13)))</f>
        <v>1000000000000</v>
      </c>
      <c r="BC34" s="356" t="n">
        <f aca="true" t="array" ref="BC34:BC34">IF(OR($D34&lt;&gt;"Serviço",AND(AUTOEVENTO="Manual",$M34=$A$15),$M34&gt;(ROW(PLE.lastrow)-ROW(PLE.firstrow))),0,
           IF(OFFSET(PLE!$G$15,$M34-$A$15,BC$13)="",10^12,OFFSET(PLE!$G$15,$M34-$A$15,BC$13)))</f>
        <v>1000000000000</v>
      </c>
      <c r="BD34" s="356" t="n">
        <f aca="true" t="array" ref="BD34:BD34">IF(OR($D34&lt;&gt;"Serviço",AND(AUTOEVENTO="Manual",$M34=$A$15),$M34&gt;(ROW(PLE.lastrow)-ROW(PLE.firstrow))),0,
           IF(OFFSET(PLE!$G$15,$M34-$A$15,BD$13)="",10^12,OFFSET(PLE!$G$15,$M34-$A$15,BD$13)))</f>
        <v>1000000000000</v>
      </c>
      <c r="BE34" s="356" t="n">
        <f aca="true" t="array" ref="BE34:BE34">IF(OR($D34&lt;&gt;"Serviço",AND(AUTOEVENTO="Manual",$M34=$A$15),$M34&gt;(ROW(PLE.lastrow)-ROW(PLE.firstrow))),0,
           IF(OFFSET(PLE!$G$15,$M34-$A$15,BE$13)="",10^12,OFFSET(PLE!$G$15,$M34-$A$15,BE$13)))</f>
        <v>1000000000000</v>
      </c>
      <c r="BF34" s="356" t="n">
        <f aca="true" t="array" ref="BF34:BF34">IF(OR($D34&lt;&gt;"Serviço",AND(AUTOEVENTO="Manual",$M34=$A$15),$M34&gt;(ROW(PLE.lastrow)-ROW(PLE.firstrow))),0,
           IF(OFFSET(PLE!$G$15,$M34-$A$15,BF$13)="",10^12,OFFSET(PLE!$G$15,$M34-$A$15,BF$13)))</f>
        <v>1000000000000</v>
      </c>
      <c r="BG34" s="356" t="n">
        <f aca="true" t="array" ref="BG34:BG34">IF(OR($D34&lt;&gt;"Serviço",AND(AUTOEVENTO="Manual",$M34=$A$15),$M34&gt;(ROW(PLE.lastrow)-ROW(PLE.firstrow))),0,
           IF(OFFSET(PLE!$G$15,$M34-$A$15,BG$13)="",10^12,OFFSET(PLE!$G$15,$M34-$A$15,BG$13)))</f>
        <v>1000000000000</v>
      </c>
    </row>
    <row r="35" customFormat="false" ht="79.85" hidden="false" customHeight="false" outlineLevel="0" collapsed="false">
      <c r="A35" s="48" t="str">
        <f aca="true">IFERROR(IF(AUTOEVENTO="Manual",IF(K35&lt;&gt;"",MIN(VALUE(LEFT(K35,FIND(".",K35)-1)),COUNTA(EVENTOS.Lista)),0),IF(OR($B35&gt;AUTOEVENTO,$B35="S",$B35=0),SUBSTITUTE(OFFSET($A35,-1,0),IF($D35="Serviço",".",""),""),$L35&amp;".")),0)</f>
        <v>17</v>
      </c>
      <c r="B35" s="48" t="str">
        <f aca="true">OFFSET(ORÇAMENTO!C$15,$L35,0)</f>
        <v>S</v>
      </c>
      <c r="C35" s="48" t="str">
        <f aca="true">OFFSET(ORÇAMENTO!L$15,$L35,0)</f>
        <v/>
      </c>
      <c r="D35" s="206" t="str">
        <f aca="true">OFFSET(ORÇAMENTO!N$15,$L35,0)</f>
        <v>Serviço</v>
      </c>
      <c r="E35" s="207" t="str">
        <f aca="true">OFFSET(ORÇAMENTO!O$15,$L35,0)</f>
        <v>-</v>
      </c>
      <c r="F35" s="343" t="str">
        <f aca="true">OFFSET(ORÇAMENTO!R$15,$L35,0)</f>
        <v>(Código não identificado nas referências)</v>
      </c>
      <c r="G35" s="344" t="str">
        <f aca="true">IF($D35&lt;&gt;"Serviço","",OFFSET(ORÇAMENTO!S$15,$L35,0))</f>
        <v>-</v>
      </c>
      <c r="H35" s="212" t="n">
        <f aca="true" t="array" ref="H35:H35">IF($D35&lt;&gt;"Serviço",0,IF(ACOMPANHAMENTO="BM",ROUND(OFFSET(ORÇAMENTO!AJ$15,$L35,0),15-13*ORÇAMENTO!$AF$7),IF(IFERROR(CÁLCULO.FrentesPreenchidas,0)=0,0,SUM(ROUND(OFFSET($P35,0,1,1,CÁLCULO.FrentesPreenchidas),15-13*ORÇAMENTO!$AF$7)))))</f>
        <v>881.08</v>
      </c>
      <c r="I35" s="345" t="s">
        <v>903</v>
      </c>
      <c r="J35" s="346" t="str">
        <f aca="false" t="array" ref="J35:J35">IF(OR(B35&lt;&gt;"S",CÁLCULO.FrentesPreenchidas=0),"",IF(AND(ACOMPANHAMENTO="PLE",AUTOEVENTO="Manual",OR(H35&gt;0,ORÇAMENTO!AC35="QUANT."),OR(K35="",M35=0,N35="")),"►E",IF(AND(ACOMPANHAMENTO="PLE",ORÇAMENTO!AC35="QUANT."),"►Q",IF(AND(ACOMPANHAMENTO="PLE",H35&lt;&gt;SUMPRODUCT(($Q$1:$AA$1=1)*ROUND(Q35:AA35,15))),"►S",IF(AND(COUNTIF($P$11:$AA$11,"▼")=0,H35&gt;0,I35=""),"◄M","")))))</f>
        <v/>
      </c>
      <c r="K35" s="347"/>
      <c r="L35" s="348" t="n">
        <f aca="true">OFFSET(L35,-1,0)+1</f>
        <v>20</v>
      </c>
      <c r="M35" s="349" t="n">
        <f aca="true">IF($D35&lt;&gt;"Serviço","",
          IF(AUTOEVENTO="manual",$A35,
                IF(ISERROR(MATCH($A35,$A$15:OFFSET($A35,-1,0),0)),MAX($M$15:OFFSET(M35,-1,0))+1,
                      INDEX($M$15:OFFSET(M35,-1,0),MATCH($A35,$A$15:OFFSET($A35,-1,0),0)))))</f>
        <v>6</v>
      </c>
      <c r="N35" s="350" t="str">
        <f aca="true">IF($D35&lt;&gt;"Serviço","",
         IF(AUTOEVENTO="Manual",
                IF($A35=0,"&lt;-- defina o número do agrupador",
                       OFFSET(EVENTOS!$D$15,$A35-$A$15,0)),
                OFFSET($F$15,$A35,0)))</f>
        <v>PLATAFORMA</v>
      </c>
      <c r="O35" s="351"/>
      <c r="Q35" s="351"/>
      <c r="R35" s="352"/>
      <c r="S35" s="352"/>
      <c r="T35" s="352"/>
      <c r="U35" s="352"/>
      <c r="V35" s="352"/>
      <c r="W35" s="352"/>
      <c r="X35" s="352"/>
      <c r="Y35" s="352"/>
      <c r="Z35" s="353"/>
      <c r="AB35" s="354" t="n">
        <f aca="true">IF(AND($D35="Serviço",AB$12&lt;&gt;0,$H35&gt;0,OR(AUTOEVENTO&lt;&gt;"manual",$M35&lt;&gt;$A$15)),
        IF(Import.TipoArredondamento&lt;&gt;"TransfereGOV",
              ROUND(OFFSET($P35,0,AB$13),15-13*ORÇAMENTO!$AF$7)/$H35*OFFSET(ORÇAMENTO!$X$15,ROW(AB35)-ROW(AB$15),0),
              ROUND(ROUND(OFFSET($P35,0,AB$13),15-13*ORÇAMENTO!$AF$7)*OFFSET(ORÇAMENTO!$W$15,ROW(AB35)-ROW(AB$15),0),15-13*ORÇAMENTO!$AF$11)),
         0)</f>
        <v>0</v>
      </c>
      <c r="AC35" s="354" t="n">
        <f aca="true">IF(AND($D35="Serviço",AC$12&lt;&gt;0,$H35&gt;0,OR(AUTOEVENTO&lt;&gt;"manual",$M35&lt;&gt;$A$15)),
        IF(Import.TipoArredondamento&lt;&gt;"TransfereGOV",
              ROUND(OFFSET($P35,0,AC$13),15-13*ORÇAMENTO!$AF$7)/$H35*OFFSET(ORÇAMENTO!$X$15,ROW(AC35)-ROW(AC$15),0),
              ROUND(ROUND(OFFSET($P35,0,AC$13),15-13*ORÇAMENTO!$AF$7)*OFFSET(ORÇAMENTO!$W$15,ROW(AC35)-ROW(AC$15),0),15-13*ORÇAMENTO!$AF$11)),
         0)</f>
        <v>0</v>
      </c>
      <c r="AD35" s="354" t="n">
        <f aca="true">IF(AND($D35="Serviço",AD$12&lt;&gt;0,$H35&gt;0,OR(AUTOEVENTO&lt;&gt;"manual",$M35&lt;&gt;$A$15)),
        IF(Import.TipoArredondamento&lt;&gt;"TransfereGOV",
              ROUND(OFFSET($P35,0,AD$13),15-13*ORÇAMENTO!$AF$7)/$H35*OFFSET(ORÇAMENTO!$X$15,ROW(AD35)-ROW(AD$15),0),
              ROUND(ROUND(OFFSET($P35,0,AD$13),15-13*ORÇAMENTO!$AF$7)*OFFSET(ORÇAMENTO!$W$15,ROW(AD35)-ROW(AD$15),0),15-13*ORÇAMENTO!$AF$11)),
         0)</f>
        <v>0</v>
      </c>
      <c r="AE35" s="354" t="n">
        <f aca="true">IF(AND($D35="Serviço",AE$12&lt;&gt;0,$H35&gt;0,OR(AUTOEVENTO&lt;&gt;"manual",$M35&lt;&gt;$A$15)),
        IF(Import.TipoArredondamento&lt;&gt;"TransfereGOV",
              ROUND(OFFSET($P35,0,AE$13),15-13*ORÇAMENTO!$AF$7)/$H35*OFFSET(ORÇAMENTO!$X$15,ROW(AE35)-ROW(AE$15),0),
              ROUND(ROUND(OFFSET($P35,0,AE$13),15-13*ORÇAMENTO!$AF$7)*OFFSET(ORÇAMENTO!$W$15,ROW(AE35)-ROW(AE$15),0),15-13*ORÇAMENTO!$AF$11)),
         0)</f>
        <v>0</v>
      </c>
      <c r="AF35" s="354" t="n">
        <f aca="true">IF(AND($D35="Serviço",AF$12&lt;&gt;0,$H35&gt;0,OR(AUTOEVENTO&lt;&gt;"manual",$M35&lt;&gt;$A$15)),
        IF(Import.TipoArredondamento&lt;&gt;"TransfereGOV",
              ROUND(OFFSET($P35,0,AF$13),15-13*ORÇAMENTO!$AF$7)/$H35*OFFSET(ORÇAMENTO!$X$15,ROW(AF35)-ROW(AF$15),0),
              ROUND(ROUND(OFFSET($P35,0,AF$13),15-13*ORÇAMENTO!$AF$7)*OFFSET(ORÇAMENTO!$W$15,ROW(AF35)-ROW(AF$15),0),15-13*ORÇAMENTO!$AF$11)),
         0)</f>
        <v>0</v>
      </c>
      <c r="AG35" s="354" t="n">
        <f aca="true">IF(AND($D35="Serviço",AG$12&lt;&gt;0,$H35&gt;0,OR(AUTOEVENTO&lt;&gt;"manual",$M35&lt;&gt;$A$15)),
        IF(Import.TipoArredondamento&lt;&gt;"TransfereGOV",
              ROUND(OFFSET($P35,0,AG$13),15-13*ORÇAMENTO!$AF$7)/$H35*OFFSET(ORÇAMENTO!$X$15,ROW(AG35)-ROW(AG$15),0),
              ROUND(ROUND(OFFSET($P35,0,AG$13),15-13*ORÇAMENTO!$AF$7)*OFFSET(ORÇAMENTO!$W$15,ROW(AG35)-ROW(AG$15),0),15-13*ORÇAMENTO!$AF$11)),
         0)</f>
        <v>0</v>
      </c>
      <c r="AH35" s="354" t="n">
        <f aca="true">IF(AND($D35="Serviço",AH$12&lt;&gt;0,$H35&gt;0,OR(AUTOEVENTO&lt;&gt;"manual",$M35&lt;&gt;$A$15)),
        IF(Import.TipoArredondamento&lt;&gt;"TransfereGOV",
              ROUND(OFFSET($P35,0,AH$13),15-13*ORÇAMENTO!$AF$7)/$H35*OFFSET(ORÇAMENTO!$X$15,ROW(AH35)-ROW(AH$15),0),
              ROUND(ROUND(OFFSET($P35,0,AH$13),15-13*ORÇAMENTO!$AF$7)*OFFSET(ORÇAMENTO!$W$15,ROW(AH35)-ROW(AH$15),0),15-13*ORÇAMENTO!$AF$11)),
         0)</f>
        <v>0</v>
      </c>
      <c r="AI35" s="354" t="n">
        <f aca="true">IF(AND($D35="Serviço",AI$12&lt;&gt;0,$H35&gt;0,OR(AUTOEVENTO&lt;&gt;"manual",$M35&lt;&gt;$A$15)),
        IF(Import.TipoArredondamento&lt;&gt;"TransfereGOV",
              ROUND(OFFSET($P35,0,AI$13),15-13*ORÇAMENTO!$AF$7)/$H35*OFFSET(ORÇAMENTO!$X$15,ROW(AI35)-ROW(AI$15),0),
              ROUND(ROUND(OFFSET($P35,0,AI$13),15-13*ORÇAMENTO!$AF$7)*OFFSET(ORÇAMENTO!$W$15,ROW(AI35)-ROW(AI$15),0),15-13*ORÇAMENTO!$AF$11)),
         0)</f>
        <v>0</v>
      </c>
      <c r="AJ35" s="354" t="n">
        <f aca="true">IF(AND($D35="Serviço",AJ$12&lt;&gt;0,$H35&gt;0,OR(AUTOEVENTO&lt;&gt;"manual",$M35&lt;&gt;$A$15)),
        IF(Import.TipoArredondamento&lt;&gt;"TransfereGOV",
              ROUND(OFFSET($P35,0,AJ$13),15-13*ORÇAMENTO!$AF$7)/$H35*OFFSET(ORÇAMENTO!$X$15,ROW(AJ35)-ROW(AJ$15),0),
              ROUND(ROUND(OFFSET($P35,0,AJ$13),15-13*ORÇAMENTO!$AF$7)*OFFSET(ORÇAMENTO!$W$15,ROW(AJ35)-ROW(AJ$15),0),15-13*ORÇAMENTO!$AF$11)),
         0)</f>
        <v>0</v>
      </c>
      <c r="AK35" s="354" t="n">
        <f aca="true">IF(AND($D35="Serviço",AK$12&lt;&gt;0,$H35&gt;0,OR(AUTOEVENTO&lt;&gt;"manual",$M35&lt;&gt;$A$15)),
        IF(Import.TipoArredondamento&lt;&gt;"TransfereGOV",
              ROUND(OFFSET($P35,0,AK$13),15-13*ORÇAMENTO!$AF$7)/$H35*OFFSET(ORÇAMENTO!$X$15,ROW(AK35)-ROW(AK$15),0),
              ROUND(ROUND(OFFSET($P35,0,AK$13),15-13*ORÇAMENTO!$AF$7)*OFFSET(ORÇAMENTO!$W$15,ROW(AK35)-ROW(AK$15),0),15-13*ORÇAMENTO!$AF$11)),
         0)</f>
        <v>0</v>
      </c>
      <c r="AM35" s="355" t="n">
        <f aca="true">IF(OR($D35&lt;&gt;"Serviço",AND(AUTOEVENTO="Manual",$M35=$A$15)),0,
         IF(OFFSET(CRONOPLE!$F$15,$M35-$A$15,AM$13)=0,10^12,OFFSET(CRONOPLE!$F$15,$M35-$A$15,AM$13)))</f>
        <v>1000000000000</v>
      </c>
      <c r="AN35" s="355" t="n">
        <f aca="true">IF(OR($D35&lt;&gt;"Serviço",AND(AUTOEVENTO="Manual",$M35=$A$15)),0,
         IF(OFFSET(CRONOPLE!$F$15,$M35-$A$15,AN$13)=0,10^12,OFFSET(CRONOPLE!$F$15,$M35-$A$15,AN$13)))</f>
        <v>1000000000000</v>
      </c>
      <c r="AO35" s="355" t="n">
        <f aca="true">IF(OR($D35&lt;&gt;"Serviço",AND(AUTOEVENTO="Manual",$M35=$A$15)),0,
         IF(OFFSET(CRONOPLE!$F$15,$M35-$A$15,AO$13)=0,10^12,OFFSET(CRONOPLE!$F$15,$M35-$A$15,AO$13)))</f>
        <v>1000000000000</v>
      </c>
      <c r="AP35" s="355" t="n">
        <f aca="true">IF(OR($D35&lt;&gt;"Serviço",AND(AUTOEVENTO="Manual",$M35=$A$15)),0,
         IF(OFFSET(CRONOPLE!$F$15,$M35-$A$15,AP$13)=0,10^12,OFFSET(CRONOPLE!$F$15,$M35-$A$15,AP$13)))</f>
        <v>1000000000000</v>
      </c>
      <c r="AQ35" s="355" t="n">
        <f aca="true">IF(OR($D35&lt;&gt;"Serviço",AND(AUTOEVENTO="Manual",$M35=$A$15)),0,
         IF(OFFSET(CRONOPLE!$F$15,$M35-$A$15,AQ$13)=0,10^12,OFFSET(CRONOPLE!$F$15,$M35-$A$15,AQ$13)))</f>
        <v>1000000000000</v>
      </c>
      <c r="AR35" s="355" t="n">
        <f aca="true">IF(OR($D35&lt;&gt;"Serviço",AND(AUTOEVENTO="Manual",$M35=$A$15)),0,
         IF(OFFSET(CRONOPLE!$F$15,$M35-$A$15,AR$13)=0,10^12,OFFSET(CRONOPLE!$F$15,$M35-$A$15,AR$13)))</f>
        <v>1000000000000</v>
      </c>
      <c r="AS35" s="355" t="n">
        <f aca="true">IF(OR($D35&lt;&gt;"Serviço",AND(AUTOEVENTO="Manual",$M35=$A$15)),0,
         IF(OFFSET(CRONOPLE!$F$15,$M35-$A$15,AS$13)=0,10^12,OFFSET(CRONOPLE!$F$15,$M35-$A$15,AS$13)))</f>
        <v>1000000000000</v>
      </c>
      <c r="AT35" s="355" t="n">
        <f aca="true">IF(OR($D35&lt;&gt;"Serviço",AND(AUTOEVENTO="Manual",$M35=$A$15)),0,
         IF(OFFSET(CRONOPLE!$F$15,$M35-$A$15,AT$13)=0,10^12,OFFSET(CRONOPLE!$F$15,$M35-$A$15,AT$13)))</f>
        <v>1000000000000</v>
      </c>
      <c r="AU35" s="355" t="n">
        <f aca="true">IF(OR($D35&lt;&gt;"Serviço",AND(AUTOEVENTO="Manual",$M35=$A$15)),0,
         IF(OFFSET(CRONOPLE!$F$15,$M35-$A$15,AU$13)=0,10^12,OFFSET(CRONOPLE!$F$15,$M35-$A$15,AU$13)))</f>
        <v>1000000000000</v>
      </c>
      <c r="AV35" s="355" t="n">
        <f aca="true">IF(OR($D35&lt;&gt;"Serviço",AND(AUTOEVENTO="Manual",$M35=$A$15)),0,
         IF(OFFSET(CRONOPLE!$F$15,$M35-$A$15,AV$13)=0,10^12,OFFSET(CRONOPLE!$F$15,$M35-$A$15,AV$13)))</f>
        <v>1000000000000</v>
      </c>
      <c r="AX35" s="356" t="n">
        <f aca="true" t="array" ref="AX35:AX35">IF(OR($D35&lt;&gt;"Serviço",AND(AUTOEVENTO="Manual",$M35=$A$15),$M35&gt;(ROW(PLE.lastrow)-ROW(PLE.firstrow))),0,
           IF(OFFSET(PLE!$G$15,$M35-$A$15,AX$13)="",10^12,OFFSET(PLE!$G$15,$M35-$A$15,AX$13)))</f>
        <v>1000000000000</v>
      </c>
      <c r="AY35" s="356" t="n">
        <f aca="true" t="array" ref="AY35:AY35">IF(OR($D35&lt;&gt;"Serviço",AND(AUTOEVENTO="Manual",$M35=$A$15),$M35&gt;(ROW(PLE.lastrow)-ROW(PLE.firstrow))),0,
           IF(OFFSET(PLE!$G$15,$M35-$A$15,AY$13)="",10^12,OFFSET(PLE!$G$15,$M35-$A$15,AY$13)))</f>
        <v>1000000000000</v>
      </c>
      <c r="AZ35" s="356" t="n">
        <f aca="true" t="array" ref="AZ35:AZ35">IF(OR($D35&lt;&gt;"Serviço",AND(AUTOEVENTO="Manual",$M35=$A$15),$M35&gt;(ROW(PLE.lastrow)-ROW(PLE.firstrow))),0,
           IF(OFFSET(PLE!$G$15,$M35-$A$15,AZ$13)="",10^12,OFFSET(PLE!$G$15,$M35-$A$15,AZ$13)))</f>
        <v>1000000000000</v>
      </c>
      <c r="BA35" s="356" t="n">
        <f aca="true" t="array" ref="BA35:BA35">IF(OR($D35&lt;&gt;"Serviço",AND(AUTOEVENTO="Manual",$M35=$A$15),$M35&gt;(ROW(PLE.lastrow)-ROW(PLE.firstrow))),0,
           IF(OFFSET(PLE!$G$15,$M35-$A$15,BA$13)="",10^12,OFFSET(PLE!$G$15,$M35-$A$15,BA$13)))</f>
        <v>1000000000000</v>
      </c>
      <c r="BB35" s="356" t="n">
        <f aca="true" t="array" ref="BB35:BB35">IF(OR($D35&lt;&gt;"Serviço",AND(AUTOEVENTO="Manual",$M35=$A$15),$M35&gt;(ROW(PLE.lastrow)-ROW(PLE.firstrow))),0,
           IF(OFFSET(PLE!$G$15,$M35-$A$15,BB$13)="",10^12,OFFSET(PLE!$G$15,$M35-$A$15,BB$13)))</f>
        <v>1000000000000</v>
      </c>
      <c r="BC35" s="356" t="n">
        <f aca="true" t="array" ref="BC35:BC35">IF(OR($D35&lt;&gt;"Serviço",AND(AUTOEVENTO="Manual",$M35=$A$15),$M35&gt;(ROW(PLE.lastrow)-ROW(PLE.firstrow))),0,
           IF(OFFSET(PLE!$G$15,$M35-$A$15,BC$13)="",10^12,OFFSET(PLE!$G$15,$M35-$A$15,BC$13)))</f>
        <v>1000000000000</v>
      </c>
      <c r="BD35" s="356" t="n">
        <f aca="true" t="array" ref="BD35:BD35">IF(OR($D35&lt;&gt;"Serviço",AND(AUTOEVENTO="Manual",$M35=$A$15),$M35&gt;(ROW(PLE.lastrow)-ROW(PLE.firstrow))),0,
           IF(OFFSET(PLE!$G$15,$M35-$A$15,BD$13)="",10^12,OFFSET(PLE!$G$15,$M35-$A$15,BD$13)))</f>
        <v>1000000000000</v>
      </c>
      <c r="BE35" s="356" t="n">
        <f aca="true" t="array" ref="BE35:BE35">IF(OR($D35&lt;&gt;"Serviço",AND(AUTOEVENTO="Manual",$M35=$A$15),$M35&gt;(ROW(PLE.lastrow)-ROW(PLE.firstrow))),0,
           IF(OFFSET(PLE!$G$15,$M35-$A$15,BE$13)="",10^12,OFFSET(PLE!$G$15,$M35-$A$15,BE$13)))</f>
        <v>1000000000000</v>
      </c>
      <c r="BF35" s="356" t="n">
        <f aca="true" t="array" ref="BF35:BF35">IF(OR($D35&lt;&gt;"Serviço",AND(AUTOEVENTO="Manual",$M35=$A$15),$M35&gt;(ROW(PLE.lastrow)-ROW(PLE.firstrow))),0,
           IF(OFFSET(PLE!$G$15,$M35-$A$15,BF$13)="",10^12,OFFSET(PLE!$G$15,$M35-$A$15,BF$13)))</f>
        <v>1000000000000</v>
      </c>
      <c r="BG35" s="356" t="n">
        <f aca="true" t="array" ref="BG35:BG35">IF(OR($D35&lt;&gt;"Serviço",AND(AUTOEVENTO="Manual",$M35=$A$15),$M35&gt;(ROW(PLE.lastrow)-ROW(PLE.firstrow))),0,
           IF(OFFSET(PLE!$G$15,$M35-$A$15,BG$13)="",10^12,OFFSET(PLE!$G$15,$M35-$A$15,BG$13)))</f>
        <v>1000000000000</v>
      </c>
    </row>
    <row r="36" customFormat="false" ht="79.85" hidden="false" customHeight="false" outlineLevel="0" collapsed="false">
      <c r="A36" s="48" t="str">
        <f aca="true">IFERROR(IF(AUTOEVENTO="Manual",IF(K36&lt;&gt;"",MIN(VALUE(LEFT(K36,FIND(".",K36)-1)),COUNTA(EVENTOS.Lista)),0),IF(OR($B36&gt;AUTOEVENTO,$B36="S",$B36=0),SUBSTITUTE(OFFSET($A36,-1,0),IF($D36="Serviço",".",""),""),$L36&amp;".")),0)</f>
        <v>17</v>
      </c>
      <c r="B36" s="48" t="str">
        <f aca="true">OFFSET(ORÇAMENTO!C$15,$L36,0)</f>
        <v>S</v>
      </c>
      <c r="C36" s="48" t="str">
        <f aca="true">OFFSET(ORÇAMENTO!L$15,$L36,0)</f>
        <v/>
      </c>
      <c r="D36" s="206" t="str">
        <f aca="true">OFFSET(ORÇAMENTO!N$15,$L36,0)</f>
        <v>Serviço</v>
      </c>
      <c r="E36" s="207" t="str">
        <f aca="true">OFFSET(ORÇAMENTO!O$15,$L36,0)</f>
        <v>-</v>
      </c>
      <c r="F36" s="343" t="str">
        <f aca="true">OFFSET(ORÇAMENTO!R$15,$L36,0)</f>
        <v>(Código não identificado nas referências)</v>
      </c>
      <c r="G36" s="344" t="str">
        <f aca="true">IF($D36&lt;&gt;"Serviço","",OFFSET(ORÇAMENTO!S$15,$L36,0))</f>
        <v>-</v>
      </c>
      <c r="H36" s="212" t="n">
        <f aca="true" t="array" ref="H36:H36">IF($D36&lt;&gt;"Serviço",0,IF(ACOMPANHAMENTO="BM",ROUND(OFFSET(ORÇAMENTO!AJ$15,$L36,0),15-13*ORÇAMENTO!$AF$7),IF(IFERROR(CÁLCULO.FrentesPreenchidas,0)=0,0,SUM(ROUND(OFFSET($P36,0,1,1,CÁLCULO.FrentesPreenchidas),15-13*ORÇAMENTO!$AF$7)))))</f>
        <v>973</v>
      </c>
      <c r="I36" s="345" t="s">
        <v>904</v>
      </c>
      <c r="J36" s="346" t="str">
        <f aca="false" t="array" ref="J36:J36">IF(OR(B36&lt;&gt;"S",CÁLCULO.FrentesPreenchidas=0),"",IF(AND(ACOMPANHAMENTO="PLE",AUTOEVENTO="Manual",OR(H36&gt;0,ORÇAMENTO!AC36="QUANT."),OR(K36="",M36=0,N36="")),"►E",IF(AND(ACOMPANHAMENTO="PLE",ORÇAMENTO!AC36="QUANT."),"►Q",IF(AND(ACOMPANHAMENTO="PLE",H36&lt;&gt;SUMPRODUCT(($Q$1:$AA$1=1)*ROUND(Q36:AA36,15))),"►S",IF(AND(COUNTIF($P$11:$AA$11,"▼")=0,H36&gt;0,I36=""),"◄M","")))))</f>
        <v/>
      </c>
      <c r="K36" s="347"/>
      <c r="L36" s="348" t="n">
        <f aca="true">OFFSET(L36,-1,0)+1</f>
        <v>21</v>
      </c>
      <c r="M36" s="349" t="n">
        <f aca="true">IF($D36&lt;&gt;"Serviço","",
          IF(AUTOEVENTO="manual",$A36,
                IF(ISERROR(MATCH($A36,$A$15:OFFSET($A36,-1,0),0)),MAX($M$15:OFFSET(M36,-1,0))+1,
                      INDEX($M$15:OFFSET(M36,-1,0),MATCH($A36,$A$15:OFFSET($A36,-1,0),0)))))</f>
        <v>6</v>
      </c>
      <c r="N36" s="350" t="str">
        <f aca="true">IF($D36&lt;&gt;"Serviço","",
         IF(AUTOEVENTO="Manual",
                IF($A36=0,"&lt;-- defina o número do agrupador",
                       OFFSET(EVENTOS!$D$15,$A36-$A$15,0)),
                OFFSET($F$15,$A36,0)))</f>
        <v>PLATAFORMA</v>
      </c>
      <c r="O36" s="351"/>
      <c r="Q36" s="351"/>
      <c r="R36" s="352"/>
      <c r="S36" s="352"/>
      <c r="T36" s="352"/>
      <c r="U36" s="352"/>
      <c r="V36" s="352"/>
      <c r="W36" s="352"/>
      <c r="X36" s="352"/>
      <c r="Y36" s="352"/>
      <c r="Z36" s="353"/>
      <c r="AB36" s="354" t="n">
        <f aca="true">IF(AND($D36="Serviço",AB$12&lt;&gt;0,$H36&gt;0,OR(AUTOEVENTO&lt;&gt;"manual",$M36&lt;&gt;$A$15)),
        IF(Import.TipoArredondamento&lt;&gt;"TransfereGOV",
              ROUND(OFFSET($P36,0,AB$13),15-13*ORÇAMENTO!$AF$7)/$H36*OFFSET(ORÇAMENTO!$X$15,ROW(AB36)-ROW(AB$15),0),
              ROUND(ROUND(OFFSET($P36,0,AB$13),15-13*ORÇAMENTO!$AF$7)*OFFSET(ORÇAMENTO!$W$15,ROW(AB36)-ROW(AB$15),0),15-13*ORÇAMENTO!$AF$11)),
         0)</f>
        <v>0</v>
      </c>
      <c r="AC36" s="354" t="n">
        <f aca="true">IF(AND($D36="Serviço",AC$12&lt;&gt;0,$H36&gt;0,OR(AUTOEVENTO&lt;&gt;"manual",$M36&lt;&gt;$A$15)),
        IF(Import.TipoArredondamento&lt;&gt;"TransfereGOV",
              ROUND(OFFSET($P36,0,AC$13),15-13*ORÇAMENTO!$AF$7)/$H36*OFFSET(ORÇAMENTO!$X$15,ROW(AC36)-ROW(AC$15),0),
              ROUND(ROUND(OFFSET($P36,0,AC$13),15-13*ORÇAMENTO!$AF$7)*OFFSET(ORÇAMENTO!$W$15,ROW(AC36)-ROW(AC$15),0),15-13*ORÇAMENTO!$AF$11)),
         0)</f>
        <v>0</v>
      </c>
      <c r="AD36" s="354" t="n">
        <f aca="true">IF(AND($D36="Serviço",AD$12&lt;&gt;0,$H36&gt;0,OR(AUTOEVENTO&lt;&gt;"manual",$M36&lt;&gt;$A$15)),
        IF(Import.TipoArredondamento&lt;&gt;"TransfereGOV",
              ROUND(OFFSET($P36,0,AD$13),15-13*ORÇAMENTO!$AF$7)/$H36*OFFSET(ORÇAMENTO!$X$15,ROW(AD36)-ROW(AD$15),0),
              ROUND(ROUND(OFFSET($P36,0,AD$13),15-13*ORÇAMENTO!$AF$7)*OFFSET(ORÇAMENTO!$W$15,ROW(AD36)-ROW(AD$15),0),15-13*ORÇAMENTO!$AF$11)),
         0)</f>
        <v>0</v>
      </c>
      <c r="AE36" s="354" t="n">
        <f aca="true">IF(AND($D36="Serviço",AE$12&lt;&gt;0,$H36&gt;0,OR(AUTOEVENTO&lt;&gt;"manual",$M36&lt;&gt;$A$15)),
        IF(Import.TipoArredondamento&lt;&gt;"TransfereGOV",
              ROUND(OFFSET($P36,0,AE$13),15-13*ORÇAMENTO!$AF$7)/$H36*OFFSET(ORÇAMENTO!$X$15,ROW(AE36)-ROW(AE$15),0),
              ROUND(ROUND(OFFSET($P36,0,AE$13),15-13*ORÇAMENTO!$AF$7)*OFFSET(ORÇAMENTO!$W$15,ROW(AE36)-ROW(AE$15),0),15-13*ORÇAMENTO!$AF$11)),
         0)</f>
        <v>0</v>
      </c>
      <c r="AF36" s="354" t="n">
        <f aca="true">IF(AND($D36="Serviço",AF$12&lt;&gt;0,$H36&gt;0,OR(AUTOEVENTO&lt;&gt;"manual",$M36&lt;&gt;$A$15)),
        IF(Import.TipoArredondamento&lt;&gt;"TransfereGOV",
              ROUND(OFFSET($P36,0,AF$13),15-13*ORÇAMENTO!$AF$7)/$H36*OFFSET(ORÇAMENTO!$X$15,ROW(AF36)-ROW(AF$15),0),
              ROUND(ROUND(OFFSET($P36,0,AF$13),15-13*ORÇAMENTO!$AF$7)*OFFSET(ORÇAMENTO!$W$15,ROW(AF36)-ROW(AF$15),0),15-13*ORÇAMENTO!$AF$11)),
         0)</f>
        <v>0</v>
      </c>
      <c r="AG36" s="354" t="n">
        <f aca="true">IF(AND($D36="Serviço",AG$12&lt;&gt;0,$H36&gt;0,OR(AUTOEVENTO&lt;&gt;"manual",$M36&lt;&gt;$A$15)),
        IF(Import.TipoArredondamento&lt;&gt;"TransfereGOV",
              ROUND(OFFSET($P36,0,AG$13),15-13*ORÇAMENTO!$AF$7)/$H36*OFFSET(ORÇAMENTO!$X$15,ROW(AG36)-ROW(AG$15),0),
              ROUND(ROUND(OFFSET($P36,0,AG$13),15-13*ORÇAMENTO!$AF$7)*OFFSET(ORÇAMENTO!$W$15,ROW(AG36)-ROW(AG$15),0),15-13*ORÇAMENTO!$AF$11)),
         0)</f>
        <v>0</v>
      </c>
      <c r="AH36" s="354" t="n">
        <f aca="true">IF(AND($D36="Serviço",AH$12&lt;&gt;0,$H36&gt;0,OR(AUTOEVENTO&lt;&gt;"manual",$M36&lt;&gt;$A$15)),
        IF(Import.TipoArredondamento&lt;&gt;"TransfereGOV",
              ROUND(OFFSET($P36,0,AH$13),15-13*ORÇAMENTO!$AF$7)/$H36*OFFSET(ORÇAMENTO!$X$15,ROW(AH36)-ROW(AH$15),0),
              ROUND(ROUND(OFFSET($P36,0,AH$13),15-13*ORÇAMENTO!$AF$7)*OFFSET(ORÇAMENTO!$W$15,ROW(AH36)-ROW(AH$15),0),15-13*ORÇAMENTO!$AF$11)),
         0)</f>
        <v>0</v>
      </c>
      <c r="AI36" s="354" t="n">
        <f aca="true">IF(AND($D36="Serviço",AI$12&lt;&gt;0,$H36&gt;0,OR(AUTOEVENTO&lt;&gt;"manual",$M36&lt;&gt;$A$15)),
        IF(Import.TipoArredondamento&lt;&gt;"TransfereGOV",
              ROUND(OFFSET($P36,0,AI$13),15-13*ORÇAMENTO!$AF$7)/$H36*OFFSET(ORÇAMENTO!$X$15,ROW(AI36)-ROW(AI$15),0),
              ROUND(ROUND(OFFSET($P36,0,AI$13),15-13*ORÇAMENTO!$AF$7)*OFFSET(ORÇAMENTO!$W$15,ROW(AI36)-ROW(AI$15),0),15-13*ORÇAMENTO!$AF$11)),
         0)</f>
        <v>0</v>
      </c>
      <c r="AJ36" s="354" t="n">
        <f aca="true">IF(AND($D36="Serviço",AJ$12&lt;&gt;0,$H36&gt;0,OR(AUTOEVENTO&lt;&gt;"manual",$M36&lt;&gt;$A$15)),
        IF(Import.TipoArredondamento&lt;&gt;"TransfereGOV",
              ROUND(OFFSET($P36,0,AJ$13),15-13*ORÇAMENTO!$AF$7)/$H36*OFFSET(ORÇAMENTO!$X$15,ROW(AJ36)-ROW(AJ$15),0),
              ROUND(ROUND(OFFSET($P36,0,AJ$13),15-13*ORÇAMENTO!$AF$7)*OFFSET(ORÇAMENTO!$W$15,ROW(AJ36)-ROW(AJ$15),0),15-13*ORÇAMENTO!$AF$11)),
         0)</f>
        <v>0</v>
      </c>
      <c r="AK36" s="354" t="n">
        <f aca="true">IF(AND($D36="Serviço",AK$12&lt;&gt;0,$H36&gt;0,OR(AUTOEVENTO&lt;&gt;"manual",$M36&lt;&gt;$A$15)),
        IF(Import.TipoArredondamento&lt;&gt;"TransfereGOV",
              ROUND(OFFSET($P36,0,AK$13),15-13*ORÇAMENTO!$AF$7)/$H36*OFFSET(ORÇAMENTO!$X$15,ROW(AK36)-ROW(AK$15),0),
              ROUND(ROUND(OFFSET($P36,0,AK$13),15-13*ORÇAMENTO!$AF$7)*OFFSET(ORÇAMENTO!$W$15,ROW(AK36)-ROW(AK$15),0),15-13*ORÇAMENTO!$AF$11)),
         0)</f>
        <v>0</v>
      </c>
      <c r="AM36" s="355" t="n">
        <f aca="true">IF(OR($D36&lt;&gt;"Serviço",AND(AUTOEVENTO="Manual",$M36=$A$15)),0,
         IF(OFFSET(CRONOPLE!$F$15,$M36-$A$15,AM$13)=0,10^12,OFFSET(CRONOPLE!$F$15,$M36-$A$15,AM$13)))</f>
        <v>1000000000000</v>
      </c>
      <c r="AN36" s="355" t="n">
        <f aca="true">IF(OR($D36&lt;&gt;"Serviço",AND(AUTOEVENTO="Manual",$M36=$A$15)),0,
         IF(OFFSET(CRONOPLE!$F$15,$M36-$A$15,AN$13)=0,10^12,OFFSET(CRONOPLE!$F$15,$M36-$A$15,AN$13)))</f>
        <v>1000000000000</v>
      </c>
      <c r="AO36" s="355" t="n">
        <f aca="true">IF(OR($D36&lt;&gt;"Serviço",AND(AUTOEVENTO="Manual",$M36=$A$15)),0,
         IF(OFFSET(CRONOPLE!$F$15,$M36-$A$15,AO$13)=0,10^12,OFFSET(CRONOPLE!$F$15,$M36-$A$15,AO$13)))</f>
        <v>1000000000000</v>
      </c>
      <c r="AP36" s="355" t="n">
        <f aca="true">IF(OR($D36&lt;&gt;"Serviço",AND(AUTOEVENTO="Manual",$M36=$A$15)),0,
         IF(OFFSET(CRONOPLE!$F$15,$M36-$A$15,AP$13)=0,10^12,OFFSET(CRONOPLE!$F$15,$M36-$A$15,AP$13)))</f>
        <v>1000000000000</v>
      </c>
      <c r="AQ36" s="355" t="n">
        <f aca="true">IF(OR($D36&lt;&gt;"Serviço",AND(AUTOEVENTO="Manual",$M36=$A$15)),0,
         IF(OFFSET(CRONOPLE!$F$15,$M36-$A$15,AQ$13)=0,10^12,OFFSET(CRONOPLE!$F$15,$M36-$A$15,AQ$13)))</f>
        <v>1000000000000</v>
      </c>
      <c r="AR36" s="355" t="n">
        <f aca="true">IF(OR($D36&lt;&gt;"Serviço",AND(AUTOEVENTO="Manual",$M36=$A$15)),0,
         IF(OFFSET(CRONOPLE!$F$15,$M36-$A$15,AR$13)=0,10^12,OFFSET(CRONOPLE!$F$15,$M36-$A$15,AR$13)))</f>
        <v>1000000000000</v>
      </c>
      <c r="AS36" s="355" t="n">
        <f aca="true">IF(OR($D36&lt;&gt;"Serviço",AND(AUTOEVENTO="Manual",$M36=$A$15)),0,
         IF(OFFSET(CRONOPLE!$F$15,$M36-$A$15,AS$13)=0,10^12,OFFSET(CRONOPLE!$F$15,$M36-$A$15,AS$13)))</f>
        <v>1000000000000</v>
      </c>
      <c r="AT36" s="355" t="n">
        <f aca="true">IF(OR($D36&lt;&gt;"Serviço",AND(AUTOEVENTO="Manual",$M36=$A$15)),0,
         IF(OFFSET(CRONOPLE!$F$15,$M36-$A$15,AT$13)=0,10^12,OFFSET(CRONOPLE!$F$15,$M36-$A$15,AT$13)))</f>
        <v>1000000000000</v>
      </c>
      <c r="AU36" s="355" t="n">
        <f aca="true">IF(OR($D36&lt;&gt;"Serviço",AND(AUTOEVENTO="Manual",$M36=$A$15)),0,
         IF(OFFSET(CRONOPLE!$F$15,$M36-$A$15,AU$13)=0,10^12,OFFSET(CRONOPLE!$F$15,$M36-$A$15,AU$13)))</f>
        <v>1000000000000</v>
      </c>
      <c r="AV36" s="355" t="n">
        <f aca="true">IF(OR($D36&lt;&gt;"Serviço",AND(AUTOEVENTO="Manual",$M36=$A$15)),0,
         IF(OFFSET(CRONOPLE!$F$15,$M36-$A$15,AV$13)=0,10^12,OFFSET(CRONOPLE!$F$15,$M36-$A$15,AV$13)))</f>
        <v>1000000000000</v>
      </c>
      <c r="AX36" s="356" t="n">
        <f aca="true" t="array" ref="AX36:AX36">IF(OR($D36&lt;&gt;"Serviço",AND(AUTOEVENTO="Manual",$M36=$A$15),$M36&gt;(ROW(PLE.lastrow)-ROW(PLE.firstrow))),0,
           IF(OFFSET(PLE!$G$15,$M36-$A$15,AX$13)="",10^12,OFFSET(PLE!$G$15,$M36-$A$15,AX$13)))</f>
        <v>1000000000000</v>
      </c>
      <c r="AY36" s="356" t="n">
        <f aca="true" t="array" ref="AY36:AY36">IF(OR($D36&lt;&gt;"Serviço",AND(AUTOEVENTO="Manual",$M36=$A$15),$M36&gt;(ROW(PLE.lastrow)-ROW(PLE.firstrow))),0,
           IF(OFFSET(PLE!$G$15,$M36-$A$15,AY$13)="",10^12,OFFSET(PLE!$G$15,$M36-$A$15,AY$13)))</f>
        <v>1000000000000</v>
      </c>
      <c r="AZ36" s="356" t="n">
        <f aca="true" t="array" ref="AZ36:AZ36">IF(OR($D36&lt;&gt;"Serviço",AND(AUTOEVENTO="Manual",$M36=$A$15),$M36&gt;(ROW(PLE.lastrow)-ROW(PLE.firstrow))),0,
           IF(OFFSET(PLE!$G$15,$M36-$A$15,AZ$13)="",10^12,OFFSET(PLE!$G$15,$M36-$A$15,AZ$13)))</f>
        <v>1000000000000</v>
      </c>
      <c r="BA36" s="356" t="n">
        <f aca="true" t="array" ref="BA36:BA36">IF(OR($D36&lt;&gt;"Serviço",AND(AUTOEVENTO="Manual",$M36=$A$15),$M36&gt;(ROW(PLE.lastrow)-ROW(PLE.firstrow))),0,
           IF(OFFSET(PLE!$G$15,$M36-$A$15,BA$13)="",10^12,OFFSET(PLE!$G$15,$M36-$A$15,BA$13)))</f>
        <v>1000000000000</v>
      </c>
      <c r="BB36" s="356" t="n">
        <f aca="true" t="array" ref="BB36:BB36">IF(OR($D36&lt;&gt;"Serviço",AND(AUTOEVENTO="Manual",$M36=$A$15),$M36&gt;(ROW(PLE.lastrow)-ROW(PLE.firstrow))),0,
           IF(OFFSET(PLE!$G$15,$M36-$A$15,BB$13)="",10^12,OFFSET(PLE!$G$15,$M36-$A$15,BB$13)))</f>
        <v>1000000000000</v>
      </c>
      <c r="BC36" s="356" t="n">
        <f aca="true" t="array" ref="BC36:BC36">IF(OR($D36&lt;&gt;"Serviço",AND(AUTOEVENTO="Manual",$M36=$A$15),$M36&gt;(ROW(PLE.lastrow)-ROW(PLE.firstrow))),0,
           IF(OFFSET(PLE!$G$15,$M36-$A$15,BC$13)="",10^12,OFFSET(PLE!$G$15,$M36-$A$15,BC$13)))</f>
        <v>1000000000000</v>
      </c>
      <c r="BD36" s="356" t="n">
        <f aca="true" t="array" ref="BD36:BD36">IF(OR($D36&lt;&gt;"Serviço",AND(AUTOEVENTO="Manual",$M36=$A$15),$M36&gt;(ROW(PLE.lastrow)-ROW(PLE.firstrow))),0,
           IF(OFFSET(PLE!$G$15,$M36-$A$15,BD$13)="",10^12,OFFSET(PLE!$G$15,$M36-$A$15,BD$13)))</f>
        <v>1000000000000</v>
      </c>
      <c r="BE36" s="356" t="n">
        <f aca="true" t="array" ref="BE36:BE36">IF(OR($D36&lt;&gt;"Serviço",AND(AUTOEVENTO="Manual",$M36=$A$15),$M36&gt;(ROW(PLE.lastrow)-ROW(PLE.firstrow))),0,
           IF(OFFSET(PLE!$G$15,$M36-$A$15,BE$13)="",10^12,OFFSET(PLE!$G$15,$M36-$A$15,BE$13)))</f>
        <v>1000000000000</v>
      </c>
      <c r="BF36" s="356" t="n">
        <f aca="true" t="array" ref="BF36:BF36">IF(OR($D36&lt;&gt;"Serviço",AND(AUTOEVENTO="Manual",$M36=$A$15),$M36&gt;(ROW(PLE.lastrow)-ROW(PLE.firstrow))),0,
           IF(OFFSET(PLE!$G$15,$M36-$A$15,BF$13)="",10^12,OFFSET(PLE!$G$15,$M36-$A$15,BF$13)))</f>
        <v>1000000000000</v>
      </c>
      <c r="BG36" s="356" t="n">
        <f aca="true" t="array" ref="BG36:BG36">IF(OR($D36&lt;&gt;"Serviço",AND(AUTOEVENTO="Manual",$M36=$A$15),$M36&gt;(ROW(PLE.lastrow)-ROW(PLE.firstrow))),0,
           IF(OFFSET(PLE!$G$15,$M36-$A$15,BG$13)="",10^12,OFFSET(PLE!$G$15,$M36-$A$15,BG$13)))</f>
        <v>1000000000000</v>
      </c>
    </row>
    <row r="37" customFormat="false" ht="79.85" hidden="false" customHeight="false" outlineLevel="0" collapsed="false">
      <c r="A37" s="48" t="str">
        <f aca="true">IFERROR(IF(AUTOEVENTO="Manual",IF(K37&lt;&gt;"",MIN(VALUE(LEFT(K37,FIND(".",K37)-1)),COUNTA(EVENTOS.Lista)),0),IF(OR($B37&gt;AUTOEVENTO,$B37="S",$B37=0),SUBSTITUTE(OFFSET($A37,-1,0),IF($D37="Serviço",".",""),""),$L37&amp;".")),0)</f>
        <v>17</v>
      </c>
      <c r="B37" s="48" t="str">
        <f aca="true">OFFSET(ORÇAMENTO!C$15,$L37,0)</f>
        <v>S</v>
      </c>
      <c r="C37" s="48" t="str">
        <f aca="true">OFFSET(ORÇAMENTO!L$15,$L37,0)</f>
        <v/>
      </c>
      <c r="D37" s="206" t="str">
        <f aca="true">OFFSET(ORÇAMENTO!N$15,$L37,0)</f>
        <v>Serviço</v>
      </c>
      <c r="E37" s="207" t="str">
        <f aca="true">OFFSET(ORÇAMENTO!O$15,$L37,0)</f>
        <v>-</v>
      </c>
      <c r="F37" s="343" t="str">
        <f aca="true">OFFSET(ORÇAMENTO!R$15,$L37,0)</f>
        <v>(Código não identificado nas referências)</v>
      </c>
      <c r="G37" s="344" t="str">
        <f aca="true">IF($D37&lt;&gt;"Serviço","",OFFSET(ORÇAMENTO!S$15,$L37,0))</f>
        <v>-</v>
      </c>
      <c r="H37" s="212" t="n">
        <f aca="true" t="array" ref="H37:H37">IF($D37&lt;&gt;"Serviço",0,IF(ACOMPANHAMENTO="BM",ROUND(OFFSET(ORÇAMENTO!AJ$15,$L37,0),15-13*ORÇAMENTO!$AF$7),IF(IFERROR(CÁLCULO.FrentesPreenchidas,0)=0,0,SUM(ROUND(OFFSET($P37,0,1,1,CÁLCULO.FrentesPreenchidas),15-13*ORÇAMENTO!$AF$7)))))</f>
        <v>973</v>
      </c>
      <c r="I37" s="345" t="s">
        <v>904</v>
      </c>
      <c r="J37" s="346" t="str">
        <f aca="false" t="array" ref="J37:J37">IF(OR(B37&lt;&gt;"S",CÁLCULO.FrentesPreenchidas=0),"",IF(AND(ACOMPANHAMENTO="PLE",AUTOEVENTO="Manual",OR(H37&gt;0,ORÇAMENTO!AC37="QUANT."),OR(K37="",M37=0,N37="")),"►E",IF(AND(ACOMPANHAMENTO="PLE",ORÇAMENTO!AC37="QUANT."),"►Q",IF(AND(ACOMPANHAMENTO="PLE",H37&lt;&gt;SUMPRODUCT(($Q$1:$AA$1=1)*ROUND(Q37:AA37,15))),"►S",IF(AND(COUNTIF($P$11:$AA$11,"▼")=0,H37&gt;0,I37=""),"◄M","")))))</f>
        <v/>
      </c>
      <c r="K37" s="347"/>
      <c r="L37" s="348" t="n">
        <f aca="true">OFFSET(L37,-1,0)+1</f>
        <v>22</v>
      </c>
      <c r="M37" s="349" t="n">
        <f aca="true">IF($D37&lt;&gt;"Serviço","",
          IF(AUTOEVENTO="manual",$A37,
                IF(ISERROR(MATCH($A37,$A$15:OFFSET($A37,-1,0),0)),MAX($M$15:OFFSET(M37,-1,0))+1,
                      INDEX($M$15:OFFSET(M37,-1,0),MATCH($A37,$A$15:OFFSET($A37,-1,0),0)))))</f>
        <v>6</v>
      </c>
      <c r="N37" s="350" t="str">
        <f aca="true">IF($D37&lt;&gt;"Serviço","",
         IF(AUTOEVENTO="Manual",
                IF($A37=0,"&lt;-- defina o número do agrupador",
                       OFFSET(EVENTOS!$D$15,$A37-$A$15,0)),
                OFFSET($F$15,$A37,0)))</f>
        <v>PLATAFORMA</v>
      </c>
      <c r="O37" s="351"/>
      <c r="Q37" s="351"/>
      <c r="R37" s="352"/>
      <c r="S37" s="352"/>
      <c r="T37" s="352"/>
      <c r="U37" s="352"/>
      <c r="V37" s="352"/>
      <c r="W37" s="352"/>
      <c r="X37" s="352"/>
      <c r="Y37" s="352"/>
      <c r="Z37" s="353"/>
      <c r="AB37" s="354" t="n">
        <f aca="true">IF(AND($D37="Serviço",AB$12&lt;&gt;0,$H37&gt;0,OR(AUTOEVENTO&lt;&gt;"manual",$M37&lt;&gt;$A$15)),
        IF(Import.TipoArredondamento&lt;&gt;"TransfereGOV",
              ROUND(OFFSET($P37,0,AB$13),15-13*ORÇAMENTO!$AF$7)/$H37*OFFSET(ORÇAMENTO!$X$15,ROW(AB37)-ROW(AB$15),0),
              ROUND(ROUND(OFFSET($P37,0,AB$13),15-13*ORÇAMENTO!$AF$7)*OFFSET(ORÇAMENTO!$W$15,ROW(AB37)-ROW(AB$15),0),15-13*ORÇAMENTO!$AF$11)),
         0)</f>
        <v>0</v>
      </c>
      <c r="AC37" s="354" t="n">
        <f aca="true">IF(AND($D37="Serviço",AC$12&lt;&gt;0,$H37&gt;0,OR(AUTOEVENTO&lt;&gt;"manual",$M37&lt;&gt;$A$15)),
        IF(Import.TipoArredondamento&lt;&gt;"TransfereGOV",
              ROUND(OFFSET($P37,0,AC$13),15-13*ORÇAMENTO!$AF$7)/$H37*OFFSET(ORÇAMENTO!$X$15,ROW(AC37)-ROW(AC$15),0),
              ROUND(ROUND(OFFSET($P37,0,AC$13),15-13*ORÇAMENTO!$AF$7)*OFFSET(ORÇAMENTO!$W$15,ROW(AC37)-ROW(AC$15),0),15-13*ORÇAMENTO!$AF$11)),
         0)</f>
        <v>0</v>
      </c>
      <c r="AD37" s="354" t="n">
        <f aca="true">IF(AND($D37="Serviço",AD$12&lt;&gt;0,$H37&gt;0,OR(AUTOEVENTO&lt;&gt;"manual",$M37&lt;&gt;$A$15)),
        IF(Import.TipoArredondamento&lt;&gt;"TransfereGOV",
              ROUND(OFFSET($P37,0,AD$13),15-13*ORÇAMENTO!$AF$7)/$H37*OFFSET(ORÇAMENTO!$X$15,ROW(AD37)-ROW(AD$15),0),
              ROUND(ROUND(OFFSET($P37,0,AD$13),15-13*ORÇAMENTO!$AF$7)*OFFSET(ORÇAMENTO!$W$15,ROW(AD37)-ROW(AD$15),0),15-13*ORÇAMENTO!$AF$11)),
         0)</f>
        <v>0</v>
      </c>
      <c r="AE37" s="354" t="n">
        <f aca="true">IF(AND($D37="Serviço",AE$12&lt;&gt;0,$H37&gt;0,OR(AUTOEVENTO&lt;&gt;"manual",$M37&lt;&gt;$A$15)),
        IF(Import.TipoArredondamento&lt;&gt;"TransfereGOV",
              ROUND(OFFSET($P37,0,AE$13),15-13*ORÇAMENTO!$AF$7)/$H37*OFFSET(ORÇAMENTO!$X$15,ROW(AE37)-ROW(AE$15),0),
              ROUND(ROUND(OFFSET($P37,0,AE$13),15-13*ORÇAMENTO!$AF$7)*OFFSET(ORÇAMENTO!$W$15,ROW(AE37)-ROW(AE$15),0),15-13*ORÇAMENTO!$AF$11)),
         0)</f>
        <v>0</v>
      </c>
      <c r="AF37" s="354" t="n">
        <f aca="true">IF(AND($D37="Serviço",AF$12&lt;&gt;0,$H37&gt;0,OR(AUTOEVENTO&lt;&gt;"manual",$M37&lt;&gt;$A$15)),
        IF(Import.TipoArredondamento&lt;&gt;"TransfereGOV",
              ROUND(OFFSET($P37,0,AF$13),15-13*ORÇAMENTO!$AF$7)/$H37*OFFSET(ORÇAMENTO!$X$15,ROW(AF37)-ROW(AF$15),0),
              ROUND(ROUND(OFFSET($P37,0,AF$13),15-13*ORÇAMENTO!$AF$7)*OFFSET(ORÇAMENTO!$W$15,ROW(AF37)-ROW(AF$15),0),15-13*ORÇAMENTO!$AF$11)),
         0)</f>
        <v>0</v>
      </c>
      <c r="AG37" s="354" t="n">
        <f aca="true">IF(AND($D37="Serviço",AG$12&lt;&gt;0,$H37&gt;0,OR(AUTOEVENTO&lt;&gt;"manual",$M37&lt;&gt;$A$15)),
        IF(Import.TipoArredondamento&lt;&gt;"TransfereGOV",
              ROUND(OFFSET($P37,0,AG$13),15-13*ORÇAMENTO!$AF$7)/$H37*OFFSET(ORÇAMENTO!$X$15,ROW(AG37)-ROW(AG$15),0),
              ROUND(ROUND(OFFSET($P37,0,AG$13),15-13*ORÇAMENTO!$AF$7)*OFFSET(ORÇAMENTO!$W$15,ROW(AG37)-ROW(AG$15),0),15-13*ORÇAMENTO!$AF$11)),
         0)</f>
        <v>0</v>
      </c>
      <c r="AH37" s="354" t="n">
        <f aca="true">IF(AND($D37="Serviço",AH$12&lt;&gt;0,$H37&gt;0,OR(AUTOEVENTO&lt;&gt;"manual",$M37&lt;&gt;$A$15)),
        IF(Import.TipoArredondamento&lt;&gt;"TransfereGOV",
              ROUND(OFFSET($P37,0,AH$13),15-13*ORÇAMENTO!$AF$7)/$H37*OFFSET(ORÇAMENTO!$X$15,ROW(AH37)-ROW(AH$15),0),
              ROUND(ROUND(OFFSET($P37,0,AH$13),15-13*ORÇAMENTO!$AF$7)*OFFSET(ORÇAMENTO!$W$15,ROW(AH37)-ROW(AH$15),0),15-13*ORÇAMENTO!$AF$11)),
         0)</f>
        <v>0</v>
      </c>
      <c r="AI37" s="354" t="n">
        <f aca="true">IF(AND($D37="Serviço",AI$12&lt;&gt;0,$H37&gt;0,OR(AUTOEVENTO&lt;&gt;"manual",$M37&lt;&gt;$A$15)),
        IF(Import.TipoArredondamento&lt;&gt;"TransfereGOV",
              ROUND(OFFSET($P37,0,AI$13),15-13*ORÇAMENTO!$AF$7)/$H37*OFFSET(ORÇAMENTO!$X$15,ROW(AI37)-ROW(AI$15),0),
              ROUND(ROUND(OFFSET($P37,0,AI$13),15-13*ORÇAMENTO!$AF$7)*OFFSET(ORÇAMENTO!$W$15,ROW(AI37)-ROW(AI$15),0),15-13*ORÇAMENTO!$AF$11)),
         0)</f>
        <v>0</v>
      </c>
      <c r="AJ37" s="354" t="n">
        <f aca="true">IF(AND($D37="Serviço",AJ$12&lt;&gt;0,$H37&gt;0,OR(AUTOEVENTO&lt;&gt;"manual",$M37&lt;&gt;$A$15)),
        IF(Import.TipoArredondamento&lt;&gt;"TransfereGOV",
              ROUND(OFFSET($P37,0,AJ$13),15-13*ORÇAMENTO!$AF$7)/$H37*OFFSET(ORÇAMENTO!$X$15,ROW(AJ37)-ROW(AJ$15),0),
              ROUND(ROUND(OFFSET($P37,0,AJ$13),15-13*ORÇAMENTO!$AF$7)*OFFSET(ORÇAMENTO!$W$15,ROW(AJ37)-ROW(AJ$15),0),15-13*ORÇAMENTO!$AF$11)),
         0)</f>
        <v>0</v>
      </c>
      <c r="AK37" s="354" t="n">
        <f aca="true">IF(AND($D37="Serviço",AK$12&lt;&gt;0,$H37&gt;0,OR(AUTOEVENTO&lt;&gt;"manual",$M37&lt;&gt;$A$15)),
        IF(Import.TipoArredondamento&lt;&gt;"TransfereGOV",
              ROUND(OFFSET($P37,0,AK$13),15-13*ORÇAMENTO!$AF$7)/$H37*OFFSET(ORÇAMENTO!$X$15,ROW(AK37)-ROW(AK$15),0),
              ROUND(ROUND(OFFSET($P37,0,AK$13),15-13*ORÇAMENTO!$AF$7)*OFFSET(ORÇAMENTO!$W$15,ROW(AK37)-ROW(AK$15),0),15-13*ORÇAMENTO!$AF$11)),
         0)</f>
        <v>0</v>
      </c>
      <c r="AM37" s="355" t="n">
        <f aca="true">IF(OR($D37&lt;&gt;"Serviço",AND(AUTOEVENTO="Manual",$M37=$A$15)),0,
         IF(OFFSET(CRONOPLE!$F$15,$M37-$A$15,AM$13)=0,10^12,OFFSET(CRONOPLE!$F$15,$M37-$A$15,AM$13)))</f>
        <v>1000000000000</v>
      </c>
      <c r="AN37" s="355" t="n">
        <f aca="true">IF(OR($D37&lt;&gt;"Serviço",AND(AUTOEVENTO="Manual",$M37=$A$15)),0,
         IF(OFFSET(CRONOPLE!$F$15,$M37-$A$15,AN$13)=0,10^12,OFFSET(CRONOPLE!$F$15,$M37-$A$15,AN$13)))</f>
        <v>1000000000000</v>
      </c>
      <c r="AO37" s="355" t="n">
        <f aca="true">IF(OR($D37&lt;&gt;"Serviço",AND(AUTOEVENTO="Manual",$M37=$A$15)),0,
         IF(OFFSET(CRONOPLE!$F$15,$M37-$A$15,AO$13)=0,10^12,OFFSET(CRONOPLE!$F$15,$M37-$A$15,AO$13)))</f>
        <v>1000000000000</v>
      </c>
      <c r="AP37" s="355" t="n">
        <f aca="true">IF(OR($D37&lt;&gt;"Serviço",AND(AUTOEVENTO="Manual",$M37=$A$15)),0,
         IF(OFFSET(CRONOPLE!$F$15,$M37-$A$15,AP$13)=0,10^12,OFFSET(CRONOPLE!$F$15,$M37-$A$15,AP$13)))</f>
        <v>1000000000000</v>
      </c>
      <c r="AQ37" s="355" t="n">
        <f aca="true">IF(OR($D37&lt;&gt;"Serviço",AND(AUTOEVENTO="Manual",$M37=$A$15)),0,
         IF(OFFSET(CRONOPLE!$F$15,$M37-$A$15,AQ$13)=0,10^12,OFFSET(CRONOPLE!$F$15,$M37-$A$15,AQ$13)))</f>
        <v>1000000000000</v>
      </c>
      <c r="AR37" s="355" t="n">
        <f aca="true">IF(OR($D37&lt;&gt;"Serviço",AND(AUTOEVENTO="Manual",$M37=$A$15)),0,
         IF(OFFSET(CRONOPLE!$F$15,$M37-$A$15,AR$13)=0,10^12,OFFSET(CRONOPLE!$F$15,$M37-$A$15,AR$13)))</f>
        <v>1000000000000</v>
      </c>
      <c r="AS37" s="355" t="n">
        <f aca="true">IF(OR($D37&lt;&gt;"Serviço",AND(AUTOEVENTO="Manual",$M37=$A$15)),0,
         IF(OFFSET(CRONOPLE!$F$15,$M37-$A$15,AS$13)=0,10^12,OFFSET(CRONOPLE!$F$15,$M37-$A$15,AS$13)))</f>
        <v>1000000000000</v>
      </c>
      <c r="AT37" s="355" t="n">
        <f aca="true">IF(OR($D37&lt;&gt;"Serviço",AND(AUTOEVENTO="Manual",$M37=$A$15)),0,
         IF(OFFSET(CRONOPLE!$F$15,$M37-$A$15,AT$13)=0,10^12,OFFSET(CRONOPLE!$F$15,$M37-$A$15,AT$13)))</f>
        <v>1000000000000</v>
      </c>
      <c r="AU37" s="355" t="n">
        <f aca="true">IF(OR($D37&lt;&gt;"Serviço",AND(AUTOEVENTO="Manual",$M37=$A$15)),0,
         IF(OFFSET(CRONOPLE!$F$15,$M37-$A$15,AU$13)=0,10^12,OFFSET(CRONOPLE!$F$15,$M37-$A$15,AU$13)))</f>
        <v>1000000000000</v>
      </c>
      <c r="AV37" s="355" t="n">
        <f aca="true">IF(OR($D37&lt;&gt;"Serviço",AND(AUTOEVENTO="Manual",$M37=$A$15)),0,
         IF(OFFSET(CRONOPLE!$F$15,$M37-$A$15,AV$13)=0,10^12,OFFSET(CRONOPLE!$F$15,$M37-$A$15,AV$13)))</f>
        <v>1000000000000</v>
      </c>
      <c r="AX37" s="356" t="n">
        <f aca="true" t="array" ref="AX37:AX37">IF(OR($D37&lt;&gt;"Serviço",AND(AUTOEVENTO="Manual",$M37=$A$15),$M37&gt;(ROW(PLE.lastrow)-ROW(PLE.firstrow))),0,
           IF(OFFSET(PLE!$G$15,$M37-$A$15,AX$13)="",10^12,OFFSET(PLE!$G$15,$M37-$A$15,AX$13)))</f>
        <v>1000000000000</v>
      </c>
      <c r="AY37" s="356" t="n">
        <f aca="true" t="array" ref="AY37:AY37">IF(OR($D37&lt;&gt;"Serviço",AND(AUTOEVENTO="Manual",$M37=$A$15),$M37&gt;(ROW(PLE.lastrow)-ROW(PLE.firstrow))),0,
           IF(OFFSET(PLE!$G$15,$M37-$A$15,AY$13)="",10^12,OFFSET(PLE!$G$15,$M37-$A$15,AY$13)))</f>
        <v>1000000000000</v>
      </c>
      <c r="AZ37" s="356" t="n">
        <f aca="true" t="array" ref="AZ37:AZ37">IF(OR($D37&lt;&gt;"Serviço",AND(AUTOEVENTO="Manual",$M37=$A$15),$M37&gt;(ROW(PLE.lastrow)-ROW(PLE.firstrow))),0,
           IF(OFFSET(PLE!$G$15,$M37-$A$15,AZ$13)="",10^12,OFFSET(PLE!$G$15,$M37-$A$15,AZ$13)))</f>
        <v>1000000000000</v>
      </c>
      <c r="BA37" s="356" t="n">
        <f aca="true" t="array" ref="BA37:BA37">IF(OR($D37&lt;&gt;"Serviço",AND(AUTOEVENTO="Manual",$M37=$A$15),$M37&gt;(ROW(PLE.lastrow)-ROW(PLE.firstrow))),0,
           IF(OFFSET(PLE!$G$15,$M37-$A$15,BA$13)="",10^12,OFFSET(PLE!$G$15,$M37-$A$15,BA$13)))</f>
        <v>1000000000000</v>
      </c>
      <c r="BB37" s="356" t="n">
        <f aca="true" t="array" ref="BB37:BB37">IF(OR($D37&lt;&gt;"Serviço",AND(AUTOEVENTO="Manual",$M37=$A$15),$M37&gt;(ROW(PLE.lastrow)-ROW(PLE.firstrow))),0,
           IF(OFFSET(PLE!$G$15,$M37-$A$15,BB$13)="",10^12,OFFSET(PLE!$G$15,$M37-$A$15,BB$13)))</f>
        <v>1000000000000</v>
      </c>
      <c r="BC37" s="356" t="n">
        <f aca="true" t="array" ref="BC37:BC37">IF(OR($D37&lt;&gt;"Serviço",AND(AUTOEVENTO="Manual",$M37=$A$15),$M37&gt;(ROW(PLE.lastrow)-ROW(PLE.firstrow))),0,
           IF(OFFSET(PLE!$G$15,$M37-$A$15,BC$13)="",10^12,OFFSET(PLE!$G$15,$M37-$A$15,BC$13)))</f>
        <v>1000000000000</v>
      </c>
      <c r="BD37" s="356" t="n">
        <f aca="true" t="array" ref="BD37:BD37">IF(OR($D37&lt;&gt;"Serviço",AND(AUTOEVENTO="Manual",$M37=$A$15),$M37&gt;(ROW(PLE.lastrow)-ROW(PLE.firstrow))),0,
           IF(OFFSET(PLE!$G$15,$M37-$A$15,BD$13)="",10^12,OFFSET(PLE!$G$15,$M37-$A$15,BD$13)))</f>
        <v>1000000000000</v>
      </c>
      <c r="BE37" s="356" t="n">
        <f aca="true" t="array" ref="BE37:BE37">IF(OR($D37&lt;&gt;"Serviço",AND(AUTOEVENTO="Manual",$M37=$A$15),$M37&gt;(ROW(PLE.lastrow)-ROW(PLE.firstrow))),0,
           IF(OFFSET(PLE!$G$15,$M37-$A$15,BE$13)="",10^12,OFFSET(PLE!$G$15,$M37-$A$15,BE$13)))</f>
        <v>1000000000000</v>
      </c>
      <c r="BF37" s="356" t="n">
        <f aca="true" t="array" ref="BF37:BF37">IF(OR($D37&lt;&gt;"Serviço",AND(AUTOEVENTO="Manual",$M37=$A$15),$M37&gt;(ROW(PLE.lastrow)-ROW(PLE.firstrow))),0,
           IF(OFFSET(PLE!$G$15,$M37-$A$15,BF$13)="",10^12,OFFSET(PLE!$G$15,$M37-$A$15,BF$13)))</f>
        <v>1000000000000</v>
      </c>
      <c r="BG37" s="356" t="n">
        <f aca="true" t="array" ref="BG37:BG37">IF(OR($D37&lt;&gt;"Serviço",AND(AUTOEVENTO="Manual",$M37=$A$15),$M37&gt;(ROW(PLE.lastrow)-ROW(PLE.firstrow))),0,
           IF(OFFSET(PLE!$G$15,$M37-$A$15,BG$13)="",10^12,OFFSET(PLE!$G$15,$M37-$A$15,BG$13)))</f>
        <v>1000000000000</v>
      </c>
    </row>
    <row r="38" customFormat="false" ht="12.75" hidden="false" customHeight="false" outlineLevel="0" collapsed="false">
      <c r="A38" s="48" t="str">
        <f aca="true">IFERROR(IF(AUTOEVENTO="Manual",IF(K38&lt;&gt;"",MIN(VALUE(LEFT(K38,FIND(".",K38)-1)),COUNTA(EVENTOS.Lista)),0),IF(OR($B38&gt;AUTOEVENTO,$B38="S",$B38=0),SUBSTITUTE(OFFSET($A38,-1,0),IF($D38="Serviço",".",""),""),$L38&amp;".")),0)</f>
        <v>23.</v>
      </c>
      <c r="B38" s="48" t="n">
        <f aca="true">OFFSET(ORÇAMENTO!C$15,$L38,0)</f>
        <v>2</v>
      </c>
      <c r="C38" s="48" t="str">
        <f aca="true">OFFSET(ORÇAMENTO!L$15,$L38,0)</f>
        <v>F</v>
      </c>
      <c r="D38" s="206" t="str">
        <f aca="true">OFFSET(ORÇAMENTO!N$15,$L38,0)</f>
        <v>Nível 2</v>
      </c>
      <c r="E38" s="207" t="str">
        <f aca="true">OFFSET(ORÇAMENTO!O$15,$L38,0)</f>
        <v>1.7.</v>
      </c>
      <c r="F38" s="343" t="str">
        <f aca="true">OFFSET(ORÇAMENTO!R$15,$L38,0)</f>
        <v>PAVIMENTAÇAO</v>
      </c>
      <c r="G38" s="344" t="str">
        <f aca="true">IF($D38&lt;&gt;"Serviço","",OFFSET(ORÇAMENTO!S$15,$L38,0))</f>
        <v/>
      </c>
      <c r="H38" s="212" t="n">
        <f aca="true" t="array" ref="H38:H38">IF($D38&lt;&gt;"Serviço",0,IF(ACOMPANHAMENTO="BM",ROUND(OFFSET(ORÇAMENTO!AJ$15,$L38,0),15-13*ORÇAMENTO!$AF$7),IF(IFERROR(CÁLCULO.FrentesPreenchidas,0)=0,0,SUM(ROUND(OFFSET($P38,0,1,1,CÁLCULO.FrentesPreenchidas),15-13*ORÇAMENTO!$AF$7)))))</f>
        <v>0</v>
      </c>
      <c r="I38" s="345"/>
      <c r="J38" s="346" t="str">
        <f aca="false" t="array" ref="J38:J38">IF(OR(B38&lt;&gt;"S",CÁLCULO.FrentesPreenchidas=0),"",IF(AND(ACOMPANHAMENTO="PLE",AUTOEVENTO="Manual",OR(H38&gt;0,ORÇAMENTO!AC38="QUANT."),OR(K38="",M38=0,N38="")),"►E",IF(AND(ACOMPANHAMENTO="PLE",ORÇAMENTO!AC38="QUANT."),"►Q",IF(AND(ACOMPANHAMENTO="PLE",H38&lt;&gt;SUMPRODUCT(($Q$1:$AA$1=1)*ROUND(Q38:AA38,15))),"►S",IF(AND(COUNTIF($P$11:$AA$11,"▼")=0,H38&gt;0,I38=""),"◄M","")))))</f>
        <v/>
      </c>
      <c r="K38" s="347"/>
      <c r="L38" s="348" t="n">
        <f aca="true">OFFSET(L38,-1,0)+1</f>
        <v>23</v>
      </c>
      <c r="M38" s="349" t="str">
        <f aca="true">IF($D38&lt;&gt;"Serviço","",
          IF(AUTOEVENTO="manual",$A38,
                IF(ISERROR(MATCH($A38,$A$15:OFFSET($A38,-1,0),0)),MAX($M$15:OFFSET(M38,-1,0))+1,
                      INDEX($M$15:OFFSET(M38,-1,0),MATCH($A38,$A$15:OFFSET($A38,-1,0),0)))))</f>
        <v/>
      </c>
      <c r="N38" s="350" t="str">
        <f aca="true">IF($D38&lt;&gt;"Serviço","",
         IF(AUTOEVENTO="Manual",
                IF($A38=0,"&lt;-- defina o número do agrupador",
                       OFFSET(EVENTOS!$D$15,$A38-$A$15,0)),
                OFFSET($F$15,$A38,0)))</f>
        <v/>
      </c>
      <c r="O38" s="351"/>
      <c r="Q38" s="351"/>
      <c r="R38" s="352"/>
      <c r="S38" s="352"/>
      <c r="T38" s="352"/>
      <c r="U38" s="352"/>
      <c r="V38" s="352"/>
      <c r="W38" s="352"/>
      <c r="X38" s="352"/>
      <c r="Y38" s="352"/>
      <c r="Z38" s="353"/>
      <c r="AB38" s="354" t="n">
        <f aca="true">IF(AND($D38="Serviço",AB$12&lt;&gt;0,$H38&gt;0,OR(AUTOEVENTO&lt;&gt;"manual",$M38&lt;&gt;$A$15)),
        IF(Import.TipoArredondamento&lt;&gt;"TransfereGOV",
              ROUND(OFFSET($P38,0,AB$13),15-13*ORÇAMENTO!$AF$7)/$H38*OFFSET(ORÇAMENTO!$X$15,ROW(AB38)-ROW(AB$15),0),
              ROUND(ROUND(OFFSET($P38,0,AB$13),15-13*ORÇAMENTO!$AF$7)*OFFSET(ORÇAMENTO!$W$15,ROW(AB38)-ROW(AB$15),0),15-13*ORÇAMENTO!$AF$11)),
         0)</f>
        <v>0</v>
      </c>
      <c r="AC38" s="354" t="n">
        <f aca="true">IF(AND($D38="Serviço",AC$12&lt;&gt;0,$H38&gt;0,OR(AUTOEVENTO&lt;&gt;"manual",$M38&lt;&gt;$A$15)),
        IF(Import.TipoArredondamento&lt;&gt;"TransfereGOV",
              ROUND(OFFSET($P38,0,AC$13),15-13*ORÇAMENTO!$AF$7)/$H38*OFFSET(ORÇAMENTO!$X$15,ROW(AC38)-ROW(AC$15),0),
              ROUND(ROUND(OFFSET($P38,0,AC$13),15-13*ORÇAMENTO!$AF$7)*OFFSET(ORÇAMENTO!$W$15,ROW(AC38)-ROW(AC$15),0),15-13*ORÇAMENTO!$AF$11)),
         0)</f>
        <v>0</v>
      </c>
      <c r="AD38" s="354" t="n">
        <f aca="true">IF(AND($D38="Serviço",AD$12&lt;&gt;0,$H38&gt;0,OR(AUTOEVENTO&lt;&gt;"manual",$M38&lt;&gt;$A$15)),
        IF(Import.TipoArredondamento&lt;&gt;"TransfereGOV",
              ROUND(OFFSET($P38,0,AD$13),15-13*ORÇAMENTO!$AF$7)/$H38*OFFSET(ORÇAMENTO!$X$15,ROW(AD38)-ROW(AD$15),0),
              ROUND(ROUND(OFFSET($P38,0,AD$13),15-13*ORÇAMENTO!$AF$7)*OFFSET(ORÇAMENTO!$W$15,ROW(AD38)-ROW(AD$15),0),15-13*ORÇAMENTO!$AF$11)),
         0)</f>
        <v>0</v>
      </c>
      <c r="AE38" s="354" t="n">
        <f aca="true">IF(AND($D38="Serviço",AE$12&lt;&gt;0,$H38&gt;0,OR(AUTOEVENTO&lt;&gt;"manual",$M38&lt;&gt;$A$15)),
        IF(Import.TipoArredondamento&lt;&gt;"TransfereGOV",
              ROUND(OFFSET($P38,0,AE$13),15-13*ORÇAMENTO!$AF$7)/$H38*OFFSET(ORÇAMENTO!$X$15,ROW(AE38)-ROW(AE$15),0),
              ROUND(ROUND(OFFSET($P38,0,AE$13),15-13*ORÇAMENTO!$AF$7)*OFFSET(ORÇAMENTO!$W$15,ROW(AE38)-ROW(AE$15),0),15-13*ORÇAMENTO!$AF$11)),
         0)</f>
        <v>0</v>
      </c>
      <c r="AF38" s="354" t="n">
        <f aca="true">IF(AND($D38="Serviço",AF$12&lt;&gt;0,$H38&gt;0,OR(AUTOEVENTO&lt;&gt;"manual",$M38&lt;&gt;$A$15)),
        IF(Import.TipoArredondamento&lt;&gt;"TransfereGOV",
              ROUND(OFFSET($P38,0,AF$13),15-13*ORÇAMENTO!$AF$7)/$H38*OFFSET(ORÇAMENTO!$X$15,ROW(AF38)-ROW(AF$15),0),
              ROUND(ROUND(OFFSET($P38,0,AF$13),15-13*ORÇAMENTO!$AF$7)*OFFSET(ORÇAMENTO!$W$15,ROW(AF38)-ROW(AF$15),0),15-13*ORÇAMENTO!$AF$11)),
         0)</f>
        <v>0</v>
      </c>
      <c r="AG38" s="354" t="n">
        <f aca="true">IF(AND($D38="Serviço",AG$12&lt;&gt;0,$H38&gt;0,OR(AUTOEVENTO&lt;&gt;"manual",$M38&lt;&gt;$A$15)),
        IF(Import.TipoArredondamento&lt;&gt;"TransfereGOV",
              ROUND(OFFSET($P38,0,AG$13),15-13*ORÇAMENTO!$AF$7)/$H38*OFFSET(ORÇAMENTO!$X$15,ROW(AG38)-ROW(AG$15),0),
              ROUND(ROUND(OFFSET($P38,0,AG$13),15-13*ORÇAMENTO!$AF$7)*OFFSET(ORÇAMENTO!$W$15,ROW(AG38)-ROW(AG$15),0),15-13*ORÇAMENTO!$AF$11)),
         0)</f>
        <v>0</v>
      </c>
      <c r="AH38" s="354" t="n">
        <f aca="true">IF(AND($D38="Serviço",AH$12&lt;&gt;0,$H38&gt;0,OR(AUTOEVENTO&lt;&gt;"manual",$M38&lt;&gt;$A$15)),
        IF(Import.TipoArredondamento&lt;&gt;"TransfereGOV",
              ROUND(OFFSET($P38,0,AH$13),15-13*ORÇAMENTO!$AF$7)/$H38*OFFSET(ORÇAMENTO!$X$15,ROW(AH38)-ROW(AH$15),0),
              ROUND(ROUND(OFFSET($P38,0,AH$13),15-13*ORÇAMENTO!$AF$7)*OFFSET(ORÇAMENTO!$W$15,ROW(AH38)-ROW(AH$15),0),15-13*ORÇAMENTO!$AF$11)),
         0)</f>
        <v>0</v>
      </c>
      <c r="AI38" s="354" t="n">
        <f aca="true">IF(AND($D38="Serviço",AI$12&lt;&gt;0,$H38&gt;0,OR(AUTOEVENTO&lt;&gt;"manual",$M38&lt;&gt;$A$15)),
        IF(Import.TipoArredondamento&lt;&gt;"TransfereGOV",
              ROUND(OFFSET($P38,0,AI$13),15-13*ORÇAMENTO!$AF$7)/$H38*OFFSET(ORÇAMENTO!$X$15,ROW(AI38)-ROW(AI$15),0),
              ROUND(ROUND(OFFSET($P38,0,AI$13),15-13*ORÇAMENTO!$AF$7)*OFFSET(ORÇAMENTO!$W$15,ROW(AI38)-ROW(AI$15),0),15-13*ORÇAMENTO!$AF$11)),
         0)</f>
        <v>0</v>
      </c>
      <c r="AJ38" s="354" t="n">
        <f aca="true">IF(AND($D38="Serviço",AJ$12&lt;&gt;0,$H38&gt;0,OR(AUTOEVENTO&lt;&gt;"manual",$M38&lt;&gt;$A$15)),
        IF(Import.TipoArredondamento&lt;&gt;"TransfereGOV",
              ROUND(OFFSET($P38,0,AJ$13),15-13*ORÇAMENTO!$AF$7)/$H38*OFFSET(ORÇAMENTO!$X$15,ROW(AJ38)-ROW(AJ$15),0),
              ROUND(ROUND(OFFSET($P38,0,AJ$13),15-13*ORÇAMENTO!$AF$7)*OFFSET(ORÇAMENTO!$W$15,ROW(AJ38)-ROW(AJ$15),0),15-13*ORÇAMENTO!$AF$11)),
         0)</f>
        <v>0</v>
      </c>
      <c r="AK38" s="354" t="n">
        <f aca="true">IF(AND($D38="Serviço",AK$12&lt;&gt;0,$H38&gt;0,OR(AUTOEVENTO&lt;&gt;"manual",$M38&lt;&gt;$A$15)),
        IF(Import.TipoArredondamento&lt;&gt;"TransfereGOV",
              ROUND(OFFSET($P38,0,AK$13),15-13*ORÇAMENTO!$AF$7)/$H38*OFFSET(ORÇAMENTO!$X$15,ROW(AK38)-ROW(AK$15),0),
              ROUND(ROUND(OFFSET($P38,0,AK$13),15-13*ORÇAMENTO!$AF$7)*OFFSET(ORÇAMENTO!$W$15,ROW(AK38)-ROW(AK$15),0),15-13*ORÇAMENTO!$AF$11)),
         0)</f>
        <v>0</v>
      </c>
      <c r="AM38" s="355" t="n">
        <f aca="true">IF(OR($D38&lt;&gt;"Serviço",AND(AUTOEVENTO="Manual",$M38=$A$15)),0,
         IF(OFFSET(CRONOPLE!$F$15,$M38-$A$15,AM$13)=0,10^12,OFFSET(CRONOPLE!$F$15,$M38-$A$15,AM$13)))</f>
        <v>0</v>
      </c>
      <c r="AN38" s="355" t="n">
        <f aca="true">IF(OR($D38&lt;&gt;"Serviço",AND(AUTOEVENTO="Manual",$M38=$A$15)),0,
         IF(OFFSET(CRONOPLE!$F$15,$M38-$A$15,AN$13)=0,10^12,OFFSET(CRONOPLE!$F$15,$M38-$A$15,AN$13)))</f>
        <v>0</v>
      </c>
      <c r="AO38" s="355" t="n">
        <f aca="true">IF(OR($D38&lt;&gt;"Serviço",AND(AUTOEVENTO="Manual",$M38=$A$15)),0,
         IF(OFFSET(CRONOPLE!$F$15,$M38-$A$15,AO$13)=0,10^12,OFFSET(CRONOPLE!$F$15,$M38-$A$15,AO$13)))</f>
        <v>0</v>
      </c>
      <c r="AP38" s="355" t="n">
        <f aca="true">IF(OR($D38&lt;&gt;"Serviço",AND(AUTOEVENTO="Manual",$M38=$A$15)),0,
         IF(OFFSET(CRONOPLE!$F$15,$M38-$A$15,AP$13)=0,10^12,OFFSET(CRONOPLE!$F$15,$M38-$A$15,AP$13)))</f>
        <v>0</v>
      </c>
      <c r="AQ38" s="355" t="n">
        <f aca="true">IF(OR($D38&lt;&gt;"Serviço",AND(AUTOEVENTO="Manual",$M38=$A$15)),0,
         IF(OFFSET(CRONOPLE!$F$15,$M38-$A$15,AQ$13)=0,10^12,OFFSET(CRONOPLE!$F$15,$M38-$A$15,AQ$13)))</f>
        <v>0</v>
      </c>
      <c r="AR38" s="355" t="n">
        <f aca="true">IF(OR($D38&lt;&gt;"Serviço",AND(AUTOEVENTO="Manual",$M38=$A$15)),0,
         IF(OFFSET(CRONOPLE!$F$15,$M38-$A$15,AR$13)=0,10^12,OFFSET(CRONOPLE!$F$15,$M38-$A$15,AR$13)))</f>
        <v>0</v>
      </c>
      <c r="AS38" s="355" t="n">
        <f aca="true">IF(OR($D38&lt;&gt;"Serviço",AND(AUTOEVENTO="Manual",$M38=$A$15)),0,
         IF(OFFSET(CRONOPLE!$F$15,$M38-$A$15,AS$13)=0,10^12,OFFSET(CRONOPLE!$F$15,$M38-$A$15,AS$13)))</f>
        <v>0</v>
      </c>
      <c r="AT38" s="355" t="n">
        <f aca="true">IF(OR($D38&lt;&gt;"Serviço",AND(AUTOEVENTO="Manual",$M38=$A$15)),0,
         IF(OFFSET(CRONOPLE!$F$15,$M38-$A$15,AT$13)=0,10^12,OFFSET(CRONOPLE!$F$15,$M38-$A$15,AT$13)))</f>
        <v>0</v>
      </c>
      <c r="AU38" s="355" t="n">
        <f aca="true">IF(OR($D38&lt;&gt;"Serviço",AND(AUTOEVENTO="Manual",$M38=$A$15)),0,
         IF(OFFSET(CRONOPLE!$F$15,$M38-$A$15,AU$13)=0,10^12,OFFSET(CRONOPLE!$F$15,$M38-$A$15,AU$13)))</f>
        <v>0</v>
      </c>
      <c r="AV38" s="355" t="n">
        <f aca="true">IF(OR($D38&lt;&gt;"Serviço",AND(AUTOEVENTO="Manual",$M38=$A$15)),0,
         IF(OFFSET(CRONOPLE!$F$15,$M38-$A$15,AV$13)=0,10^12,OFFSET(CRONOPLE!$F$15,$M38-$A$15,AV$13)))</f>
        <v>0</v>
      </c>
      <c r="AX38" s="356" t="n">
        <f aca="true" t="array" ref="AX38:AX38">IF(OR($D38&lt;&gt;"Serviço",AND(AUTOEVENTO="Manual",$M38=$A$15),$M38&gt;(ROW(PLE.lastrow)-ROW(PLE.firstrow))),0,
           IF(OFFSET(PLE!$G$15,$M38-$A$15,AX$13)="",10^12,OFFSET(PLE!$G$15,$M38-$A$15,AX$13)))</f>
        <v>0</v>
      </c>
      <c r="AY38" s="356" t="n">
        <f aca="true" t="array" ref="AY38:AY38">IF(OR($D38&lt;&gt;"Serviço",AND(AUTOEVENTO="Manual",$M38=$A$15),$M38&gt;(ROW(PLE.lastrow)-ROW(PLE.firstrow))),0,
           IF(OFFSET(PLE!$G$15,$M38-$A$15,AY$13)="",10^12,OFFSET(PLE!$G$15,$M38-$A$15,AY$13)))</f>
        <v>0</v>
      </c>
      <c r="AZ38" s="356" t="n">
        <f aca="true" t="array" ref="AZ38:AZ38">IF(OR($D38&lt;&gt;"Serviço",AND(AUTOEVENTO="Manual",$M38=$A$15),$M38&gt;(ROW(PLE.lastrow)-ROW(PLE.firstrow))),0,
           IF(OFFSET(PLE!$G$15,$M38-$A$15,AZ$13)="",10^12,OFFSET(PLE!$G$15,$M38-$A$15,AZ$13)))</f>
        <v>0</v>
      </c>
      <c r="BA38" s="356" t="n">
        <f aca="true" t="array" ref="BA38:BA38">IF(OR($D38&lt;&gt;"Serviço",AND(AUTOEVENTO="Manual",$M38=$A$15),$M38&gt;(ROW(PLE.lastrow)-ROW(PLE.firstrow))),0,
           IF(OFFSET(PLE!$G$15,$M38-$A$15,BA$13)="",10^12,OFFSET(PLE!$G$15,$M38-$A$15,BA$13)))</f>
        <v>0</v>
      </c>
      <c r="BB38" s="356" t="n">
        <f aca="true" t="array" ref="BB38:BB38">IF(OR($D38&lt;&gt;"Serviço",AND(AUTOEVENTO="Manual",$M38=$A$15),$M38&gt;(ROW(PLE.lastrow)-ROW(PLE.firstrow))),0,
           IF(OFFSET(PLE!$G$15,$M38-$A$15,BB$13)="",10^12,OFFSET(PLE!$G$15,$M38-$A$15,BB$13)))</f>
        <v>0</v>
      </c>
      <c r="BC38" s="356" t="n">
        <f aca="true" t="array" ref="BC38:BC38">IF(OR($D38&lt;&gt;"Serviço",AND(AUTOEVENTO="Manual",$M38=$A$15),$M38&gt;(ROW(PLE.lastrow)-ROW(PLE.firstrow))),0,
           IF(OFFSET(PLE!$G$15,$M38-$A$15,BC$13)="",10^12,OFFSET(PLE!$G$15,$M38-$A$15,BC$13)))</f>
        <v>0</v>
      </c>
      <c r="BD38" s="356" t="n">
        <f aca="true" t="array" ref="BD38:BD38">IF(OR($D38&lt;&gt;"Serviço",AND(AUTOEVENTO="Manual",$M38=$A$15),$M38&gt;(ROW(PLE.lastrow)-ROW(PLE.firstrow))),0,
           IF(OFFSET(PLE!$G$15,$M38-$A$15,BD$13)="",10^12,OFFSET(PLE!$G$15,$M38-$A$15,BD$13)))</f>
        <v>0</v>
      </c>
      <c r="BE38" s="356" t="n">
        <f aca="true" t="array" ref="BE38:BE38">IF(OR($D38&lt;&gt;"Serviço",AND(AUTOEVENTO="Manual",$M38=$A$15),$M38&gt;(ROW(PLE.lastrow)-ROW(PLE.firstrow))),0,
           IF(OFFSET(PLE!$G$15,$M38-$A$15,BE$13)="",10^12,OFFSET(PLE!$G$15,$M38-$A$15,BE$13)))</f>
        <v>0</v>
      </c>
      <c r="BF38" s="356" t="n">
        <f aca="true" t="array" ref="BF38:BF38">IF(OR($D38&lt;&gt;"Serviço",AND(AUTOEVENTO="Manual",$M38=$A$15),$M38&gt;(ROW(PLE.lastrow)-ROW(PLE.firstrow))),0,
           IF(OFFSET(PLE!$G$15,$M38-$A$15,BF$13)="",10^12,OFFSET(PLE!$G$15,$M38-$A$15,BF$13)))</f>
        <v>0</v>
      </c>
      <c r="BG38" s="356" t="n">
        <f aca="true" t="array" ref="BG38:BG38">IF(OR($D38&lt;&gt;"Serviço",AND(AUTOEVENTO="Manual",$M38=$A$15),$M38&gt;(ROW(PLE.lastrow)-ROW(PLE.firstrow))),0,
           IF(OFFSET(PLE!$G$15,$M38-$A$15,BG$13)="",10^12,OFFSET(PLE!$G$15,$M38-$A$15,BG$13)))</f>
        <v>0</v>
      </c>
    </row>
    <row r="39" customFormat="false" ht="23.85" hidden="false" customHeight="false" outlineLevel="0" collapsed="false">
      <c r="A39" s="48" t="str">
        <f aca="true">IFERROR(IF(AUTOEVENTO="Manual",IF(K39&lt;&gt;"",MIN(VALUE(LEFT(K39,FIND(".",K39)-1)),COUNTA(EVENTOS.Lista)),0),IF(OR($B39&gt;AUTOEVENTO,$B39="S",$B39=0),SUBSTITUTE(OFFSET($A39,-1,0),IF($D39="Serviço",".",""),""),$L39&amp;".")),0)</f>
        <v>23</v>
      </c>
      <c r="B39" s="48" t="str">
        <f aca="true">OFFSET(ORÇAMENTO!C$15,$L39,0)</f>
        <v>S</v>
      </c>
      <c r="C39" s="48" t="str">
        <f aca="true">OFFSET(ORÇAMENTO!L$15,$L39,0)</f>
        <v/>
      </c>
      <c r="D39" s="206" t="str">
        <f aca="true">OFFSET(ORÇAMENTO!N$15,$L39,0)</f>
        <v>Serviço</v>
      </c>
      <c r="E39" s="207" t="str">
        <f aca="true">OFFSET(ORÇAMENTO!O$15,$L39,0)</f>
        <v>-</v>
      </c>
      <c r="F39" s="343" t="str">
        <f aca="true">OFFSET(ORÇAMENTO!R$15,$L39,0)</f>
        <v>(Código não identificado nas referências)</v>
      </c>
      <c r="G39" s="344" t="str">
        <f aca="true">IF($D39&lt;&gt;"Serviço","",OFFSET(ORÇAMENTO!S$15,$L39,0))</f>
        <v>-</v>
      </c>
      <c r="H39" s="212" t="n">
        <f aca="true" t="array" ref="H39:H39">IF($D39&lt;&gt;"Serviço",0,IF(ACOMPANHAMENTO="BM",ROUND(OFFSET(ORÇAMENTO!AJ$15,$L39,0),15-13*ORÇAMENTO!$AF$7),IF(IFERROR(CÁLCULO.FrentesPreenchidas,0)=0,0,SUM(ROUND(OFFSET($P39,0,1,1,CÁLCULO.FrentesPreenchidas),15-13*ORÇAMENTO!$AF$7)))))</f>
        <v>1634.57</v>
      </c>
      <c r="I39" s="345" t="s">
        <v>898</v>
      </c>
      <c r="J39" s="346" t="str">
        <f aca="false" t="array" ref="J39:J39">IF(OR(B39&lt;&gt;"S",CÁLCULO.FrentesPreenchidas=0),"",IF(AND(ACOMPANHAMENTO="PLE",AUTOEVENTO="Manual",OR(H39&gt;0,ORÇAMENTO!AC39="QUANT."),OR(K39="",M39=0,N39="")),"►E",IF(AND(ACOMPANHAMENTO="PLE",ORÇAMENTO!AC39="QUANT."),"►Q",IF(AND(ACOMPANHAMENTO="PLE",H39&lt;&gt;SUMPRODUCT(($Q$1:$AA$1=1)*ROUND(Q39:AA39,15))),"►S",IF(AND(COUNTIF($P$11:$AA$11,"▼")=0,H39&gt;0,I39=""),"◄M","")))))</f>
        <v/>
      </c>
      <c r="K39" s="347"/>
      <c r="L39" s="348" t="n">
        <f aca="true">OFFSET(L39,-1,0)+1</f>
        <v>24</v>
      </c>
      <c r="M39" s="349" t="n">
        <f aca="true">IF($D39&lt;&gt;"Serviço","",
          IF(AUTOEVENTO="manual",$A39,
                IF(ISERROR(MATCH($A39,$A$15:OFFSET($A39,-1,0),0)),MAX($M$15:OFFSET(M39,-1,0))+1,
                      INDEX($M$15:OFFSET(M39,-1,0),MATCH($A39,$A$15:OFFSET($A39,-1,0),0)))))</f>
        <v>7</v>
      </c>
      <c r="N39" s="350" t="str">
        <f aca="true">IF($D39&lt;&gt;"Serviço","",
         IF(AUTOEVENTO="Manual",
                IF($A39=0,"&lt;-- defina o número do agrupador",
                       OFFSET(EVENTOS!$D$15,$A39-$A$15,0)),
                OFFSET($F$15,$A39,0)))</f>
        <v>PAVIMENTAÇAO</v>
      </c>
      <c r="O39" s="351"/>
      <c r="Q39" s="351"/>
      <c r="R39" s="352"/>
      <c r="S39" s="352"/>
      <c r="T39" s="352"/>
      <c r="U39" s="352"/>
      <c r="V39" s="352"/>
      <c r="W39" s="352"/>
      <c r="X39" s="352"/>
      <c r="Y39" s="352"/>
      <c r="Z39" s="353"/>
      <c r="AB39" s="354" t="n">
        <f aca="true">IF(AND($D39="Serviço",AB$12&lt;&gt;0,$H39&gt;0,OR(AUTOEVENTO&lt;&gt;"manual",$M39&lt;&gt;$A$15)),
        IF(Import.TipoArredondamento&lt;&gt;"TransfereGOV",
              ROUND(OFFSET($P39,0,AB$13),15-13*ORÇAMENTO!$AF$7)/$H39*OFFSET(ORÇAMENTO!$X$15,ROW(AB39)-ROW(AB$15),0),
              ROUND(ROUND(OFFSET($P39,0,AB$13),15-13*ORÇAMENTO!$AF$7)*OFFSET(ORÇAMENTO!$W$15,ROW(AB39)-ROW(AB$15),0),15-13*ORÇAMENTO!$AF$11)),
         0)</f>
        <v>0</v>
      </c>
      <c r="AC39" s="354" t="n">
        <f aca="true">IF(AND($D39="Serviço",AC$12&lt;&gt;0,$H39&gt;0,OR(AUTOEVENTO&lt;&gt;"manual",$M39&lt;&gt;$A$15)),
        IF(Import.TipoArredondamento&lt;&gt;"TransfereGOV",
              ROUND(OFFSET($P39,0,AC$13),15-13*ORÇAMENTO!$AF$7)/$H39*OFFSET(ORÇAMENTO!$X$15,ROW(AC39)-ROW(AC$15),0),
              ROUND(ROUND(OFFSET($P39,0,AC$13),15-13*ORÇAMENTO!$AF$7)*OFFSET(ORÇAMENTO!$W$15,ROW(AC39)-ROW(AC$15),0),15-13*ORÇAMENTO!$AF$11)),
         0)</f>
        <v>0</v>
      </c>
      <c r="AD39" s="354" t="n">
        <f aca="true">IF(AND($D39="Serviço",AD$12&lt;&gt;0,$H39&gt;0,OR(AUTOEVENTO&lt;&gt;"manual",$M39&lt;&gt;$A$15)),
        IF(Import.TipoArredondamento&lt;&gt;"TransfereGOV",
              ROUND(OFFSET($P39,0,AD$13),15-13*ORÇAMENTO!$AF$7)/$H39*OFFSET(ORÇAMENTO!$X$15,ROW(AD39)-ROW(AD$15),0),
              ROUND(ROUND(OFFSET($P39,0,AD$13),15-13*ORÇAMENTO!$AF$7)*OFFSET(ORÇAMENTO!$W$15,ROW(AD39)-ROW(AD$15),0),15-13*ORÇAMENTO!$AF$11)),
         0)</f>
        <v>0</v>
      </c>
      <c r="AE39" s="354" t="n">
        <f aca="true">IF(AND($D39="Serviço",AE$12&lt;&gt;0,$H39&gt;0,OR(AUTOEVENTO&lt;&gt;"manual",$M39&lt;&gt;$A$15)),
        IF(Import.TipoArredondamento&lt;&gt;"TransfereGOV",
              ROUND(OFFSET($P39,0,AE$13),15-13*ORÇAMENTO!$AF$7)/$H39*OFFSET(ORÇAMENTO!$X$15,ROW(AE39)-ROW(AE$15),0),
              ROUND(ROUND(OFFSET($P39,0,AE$13),15-13*ORÇAMENTO!$AF$7)*OFFSET(ORÇAMENTO!$W$15,ROW(AE39)-ROW(AE$15),0),15-13*ORÇAMENTO!$AF$11)),
         0)</f>
        <v>0</v>
      </c>
      <c r="AF39" s="354" t="n">
        <f aca="true">IF(AND($D39="Serviço",AF$12&lt;&gt;0,$H39&gt;0,OR(AUTOEVENTO&lt;&gt;"manual",$M39&lt;&gt;$A$15)),
        IF(Import.TipoArredondamento&lt;&gt;"TransfereGOV",
              ROUND(OFFSET($P39,0,AF$13),15-13*ORÇAMENTO!$AF$7)/$H39*OFFSET(ORÇAMENTO!$X$15,ROW(AF39)-ROW(AF$15),0),
              ROUND(ROUND(OFFSET($P39,0,AF$13),15-13*ORÇAMENTO!$AF$7)*OFFSET(ORÇAMENTO!$W$15,ROW(AF39)-ROW(AF$15),0),15-13*ORÇAMENTO!$AF$11)),
         0)</f>
        <v>0</v>
      </c>
      <c r="AG39" s="354" t="n">
        <f aca="true">IF(AND($D39="Serviço",AG$12&lt;&gt;0,$H39&gt;0,OR(AUTOEVENTO&lt;&gt;"manual",$M39&lt;&gt;$A$15)),
        IF(Import.TipoArredondamento&lt;&gt;"TransfereGOV",
              ROUND(OFFSET($P39,0,AG$13),15-13*ORÇAMENTO!$AF$7)/$H39*OFFSET(ORÇAMENTO!$X$15,ROW(AG39)-ROW(AG$15),0),
              ROUND(ROUND(OFFSET($P39,0,AG$13),15-13*ORÇAMENTO!$AF$7)*OFFSET(ORÇAMENTO!$W$15,ROW(AG39)-ROW(AG$15),0),15-13*ORÇAMENTO!$AF$11)),
         0)</f>
        <v>0</v>
      </c>
      <c r="AH39" s="354" t="n">
        <f aca="true">IF(AND($D39="Serviço",AH$12&lt;&gt;0,$H39&gt;0,OR(AUTOEVENTO&lt;&gt;"manual",$M39&lt;&gt;$A$15)),
        IF(Import.TipoArredondamento&lt;&gt;"TransfereGOV",
              ROUND(OFFSET($P39,0,AH$13),15-13*ORÇAMENTO!$AF$7)/$H39*OFFSET(ORÇAMENTO!$X$15,ROW(AH39)-ROW(AH$15),0),
              ROUND(ROUND(OFFSET($P39,0,AH$13),15-13*ORÇAMENTO!$AF$7)*OFFSET(ORÇAMENTO!$W$15,ROW(AH39)-ROW(AH$15),0),15-13*ORÇAMENTO!$AF$11)),
         0)</f>
        <v>0</v>
      </c>
      <c r="AI39" s="354" t="n">
        <f aca="true">IF(AND($D39="Serviço",AI$12&lt;&gt;0,$H39&gt;0,OR(AUTOEVENTO&lt;&gt;"manual",$M39&lt;&gt;$A$15)),
        IF(Import.TipoArredondamento&lt;&gt;"TransfereGOV",
              ROUND(OFFSET($P39,0,AI$13),15-13*ORÇAMENTO!$AF$7)/$H39*OFFSET(ORÇAMENTO!$X$15,ROW(AI39)-ROW(AI$15),0),
              ROUND(ROUND(OFFSET($P39,0,AI$13),15-13*ORÇAMENTO!$AF$7)*OFFSET(ORÇAMENTO!$W$15,ROW(AI39)-ROW(AI$15),0),15-13*ORÇAMENTO!$AF$11)),
         0)</f>
        <v>0</v>
      </c>
      <c r="AJ39" s="354" t="n">
        <f aca="true">IF(AND($D39="Serviço",AJ$12&lt;&gt;0,$H39&gt;0,OR(AUTOEVENTO&lt;&gt;"manual",$M39&lt;&gt;$A$15)),
        IF(Import.TipoArredondamento&lt;&gt;"TransfereGOV",
              ROUND(OFFSET($P39,0,AJ$13),15-13*ORÇAMENTO!$AF$7)/$H39*OFFSET(ORÇAMENTO!$X$15,ROW(AJ39)-ROW(AJ$15),0),
              ROUND(ROUND(OFFSET($P39,0,AJ$13),15-13*ORÇAMENTO!$AF$7)*OFFSET(ORÇAMENTO!$W$15,ROW(AJ39)-ROW(AJ$15),0),15-13*ORÇAMENTO!$AF$11)),
         0)</f>
        <v>0</v>
      </c>
      <c r="AK39" s="354" t="n">
        <f aca="true">IF(AND($D39="Serviço",AK$12&lt;&gt;0,$H39&gt;0,OR(AUTOEVENTO&lt;&gt;"manual",$M39&lt;&gt;$A$15)),
        IF(Import.TipoArredondamento&lt;&gt;"TransfereGOV",
              ROUND(OFFSET($P39,0,AK$13),15-13*ORÇAMENTO!$AF$7)/$H39*OFFSET(ORÇAMENTO!$X$15,ROW(AK39)-ROW(AK$15),0),
              ROUND(ROUND(OFFSET($P39,0,AK$13),15-13*ORÇAMENTO!$AF$7)*OFFSET(ORÇAMENTO!$W$15,ROW(AK39)-ROW(AK$15),0),15-13*ORÇAMENTO!$AF$11)),
         0)</f>
        <v>0</v>
      </c>
      <c r="AM39" s="355" t="n">
        <f aca="true">IF(OR($D39&lt;&gt;"Serviço",AND(AUTOEVENTO="Manual",$M39=$A$15)),0,
         IF(OFFSET(CRONOPLE!$F$15,$M39-$A$15,AM$13)=0,10^12,OFFSET(CRONOPLE!$F$15,$M39-$A$15,AM$13)))</f>
        <v>1000000000000</v>
      </c>
      <c r="AN39" s="355" t="n">
        <f aca="true">IF(OR($D39&lt;&gt;"Serviço",AND(AUTOEVENTO="Manual",$M39=$A$15)),0,
         IF(OFFSET(CRONOPLE!$F$15,$M39-$A$15,AN$13)=0,10^12,OFFSET(CRONOPLE!$F$15,$M39-$A$15,AN$13)))</f>
        <v>1000000000000</v>
      </c>
      <c r="AO39" s="355" t="n">
        <f aca="true">IF(OR($D39&lt;&gt;"Serviço",AND(AUTOEVENTO="Manual",$M39=$A$15)),0,
         IF(OFFSET(CRONOPLE!$F$15,$M39-$A$15,AO$13)=0,10^12,OFFSET(CRONOPLE!$F$15,$M39-$A$15,AO$13)))</f>
        <v>1000000000000</v>
      </c>
      <c r="AP39" s="355" t="n">
        <f aca="true">IF(OR($D39&lt;&gt;"Serviço",AND(AUTOEVENTO="Manual",$M39=$A$15)),0,
         IF(OFFSET(CRONOPLE!$F$15,$M39-$A$15,AP$13)=0,10^12,OFFSET(CRONOPLE!$F$15,$M39-$A$15,AP$13)))</f>
        <v>1000000000000</v>
      </c>
      <c r="AQ39" s="355" t="n">
        <f aca="true">IF(OR($D39&lt;&gt;"Serviço",AND(AUTOEVENTO="Manual",$M39=$A$15)),0,
         IF(OFFSET(CRONOPLE!$F$15,$M39-$A$15,AQ$13)=0,10^12,OFFSET(CRONOPLE!$F$15,$M39-$A$15,AQ$13)))</f>
        <v>1000000000000</v>
      </c>
      <c r="AR39" s="355" t="n">
        <f aca="true">IF(OR($D39&lt;&gt;"Serviço",AND(AUTOEVENTO="Manual",$M39=$A$15)),0,
         IF(OFFSET(CRONOPLE!$F$15,$M39-$A$15,AR$13)=0,10^12,OFFSET(CRONOPLE!$F$15,$M39-$A$15,AR$13)))</f>
        <v>1000000000000</v>
      </c>
      <c r="AS39" s="355" t="n">
        <f aca="true">IF(OR($D39&lt;&gt;"Serviço",AND(AUTOEVENTO="Manual",$M39=$A$15)),0,
         IF(OFFSET(CRONOPLE!$F$15,$M39-$A$15,AS$13)=0,10^12,OFFSET(CRONOPLE!$F$15,$M39-$A$15,AS$13)))</f>
        <v>1000000000000</v>
      </c>
      <c r="AT39" s="355" t="n">
        <f aca="true">IF(OR($D39&lt;&gt;"Serviço",AND(AUTOEVENTO="Manual",$M39=$A$15)),0,
         IF(OFFSET(CRONOPLE!$F$15,$M39-$A$15,AT$13)=0,10^12,OFFSET(CRONOPLE!$F$15,$M39-$A$15,AT$13)))</f>
        <v>1000000000000</v>
      </c>
      <c r="AU39" s="355" t="n">
        <f aca="true">IF(OR($D39&lt;&gt;"Serviço",AND(AUTOEVENTO="Manual",$M39=$A$15)),0,
         IF(OFFSET(CRONOPLE!$F$15,$M39-$A$15,AU$13)=0,10^12,OFFSET(CRONOPLE!$F$15,$M39-$A$15,AU$13)))</f>
        <v>1000000000000</v>
      </c>
      <c r="AV39" s="355" t="n">
        <f aca="true">IF(OR($D39&lt;&gt;"Serviço",AND(AUTOEVENTO="Manual",$M39=$A$15)),0,
         IF(OFFSET(CRONOPLE!$F$15,$M39-$A$15,AV$13)=0,10^12,OFFSET(CRONOPLE!$F$15,$M39-$A$15,AV$13)))</f>
        <v>1000000000000</v>
      </c>
      <c r="AX39" s="356" t="n">
        <f aca="true" t="array" ref="AX39:AX39">IF(OR($D39&lt;&gt;"Serviço",AND(AUTOEVENTO="Manual",$M39=$A$15),$M39&gt;(ROW(PLE.lastrow)-ROW(PLE.firstrow))),0,
           IF(OFFSET(PLE!$G$15,$M39-$A$15,AX$13)="",10^12,OFFSET(PLE!$G$15,$M39-$A$15,AX$13)))</f>
        <v>1000000000000</v>
      </c>
      <c r="AY39" s="356" t="n">
        <f aca="true" t="array" ref="AY39:AY39">IF(OR($D39&lt;&gt;"Serviço",AND(AUTOEVENTO="Manual",$M39=$A$15),$M39&gt;(ROW(PLE.lastrow)-ROW(PLE.firstrow))),0,
           IF(OFFSET(PLE!$G$15,$M39-$A$15,AY$13)="",10^12,OFFSET(PLE!$G$15,$M39-$A$15,AY$13)))</f>
        <v>1000000000000</v>
      </c>
      <c r="AZ39" s="356" t="n">
        <f aca="true" t="array" ref="AZ39:AZ39">IF(OR($D39&lt;&gt;"Serviço",AND(AUTOEVENTO="Manual",$M39=$A$15),$M39&gt;(ROW(PLE.lastrow)-ROW(PLE.firstrow))),0,
           IF(OFFSET(PLE!$G$15,$M39-$A$15,AZ$13)="",10^12,OFFSET(PLE!$G$15,$M39-$A$15,AZ$13)))</f>
        <v>1000000000000</v>
      </c>
      <c r="BA39" s="356" t="n">
        <f aca="true" t="array" ref="BA39:BA39">IF(OR($D39&lt;&gt;"Serviço",AND(AUTOEVENTO="Manual",$M39=$A$15),$M39&gt;(ROW(PLE.lastrow)-ROW(PLE.firstrow))),0,
           IF(OFFSET(PLE!$G$15,$M39-$A$15,BA$13)="",10^12,OFFSET(PLE!$G$15,$M39-$A$15,BA$13)))</f>
        <v>1000000000000</v>
      </c>
      <c r="BB39" s="356" t="n">
        <f aca="true" t="array" ref="BB39:BB39">IF(OR($D39&lt;&gt;"Serviço",AND(AUTOEVENTO="Manual",$M39=$A$15),$M39&gt;(ROW(PLE.lastrow)-ROW(PLE.firstrow))),0,
           IF(OFFSET(PLE!$G$15,$M39-$A$15,BB$13)="",10^12,OFFSET(PLE!$G$15,$M39-$A$15,BB$13)))</f>
        <v>1000000000000</v>
      </c>
      <c r="BC39" s="356" t="n">
        <f aca="true" t="array" ref="BC39:BC39">IF(OR($D39&lt;&gt;"Serviço",AND(AUTOEVENTO="Manual",$M39=$A$15),$M39&gt;(ROW(PLE.lastrow)-ROW(PLE.firstrow))),0,
           IF(OFFSET(PLE!$G$15,$M39-$A$15,BC$13)="",10^12,OFFSET(PLE!$G$15,$M39-$A$15,BC$13)))</f>
        <v>1000000000000</v>
      </c>
      <c r="BD39" s="356" t="n">
        <f aca="true" t="array" ref="BD39:BD39">IF(OR($D39&lt;&gt;"Serviço",AND(AUTOEVENTO="Manual",$M39=$A$15),$M39&gt;(ROW(PLE.lastrow)-ROW(PLE.firstrow))),0,
           IF(OFFSET(PLE!$G$15,$M39-$A$15,BD$13)="",10^12,OFFSET(PLE!$G$15,$M39-$A$15,BD$13)))</f>
        <v>1000000000000</v>
      </c>
      <c r="BE39" s="356" t="n">
        <f aca="true" t="array" ref="BE39:BE39">IF(OR($D39&lt;&gt;"Serviço",AND(AUTOEVENTO="Manual",$M39=$A$15),$M39&gt;(ROW(PLE.lastrow)-ROW(PLE.firstrow))),0,
           IF(OFFSET(PLE!$G$15,$M39-$A$15,BE$13)="",10^12,OFFSET(PLE!$G$15,$M39-$A$15,BE$13)))</f>
        <v>1000000000000</v>
      </c>
      <c r="BF39" s="356" t="n">
        <f aca="true" t="array" ref="BF39:BF39">IF(OR($D39&lt;&gt;"Serviço",AND(AUTOEVENTO="Manual",$M39=$A$15),$M39&gt;(ROW(PLE.lastrow)-ROW(PLE.firstrow))),0,
           IF(OFFSET(PLE!$G$15,$M39-$A$15,BF$13)="",10^12,OFFSET(PLE!$G$15,$M39-$A$15,BF$13)))</f>
        <v>1000000000000</v>
      </c>
      <c r="BG39" s="356" t="n">
        <f aca="true" t="array" ref="BG39:BG39">IF(OR($D39&lt;&gt;"Serviço",AND(AUTOEVENTO="Manual",$M39=$A$15),$M39&gt;(ROW(PLE.lastrow)-ROW(PLE.firstrow))),0,
           IF(OFFSET(PLE!$G$15,$M39-$A$15,BG$13)="",10^12,OFFSET(PLE!$G$15,$M39-$A$15,BG$13)))</f>
        <v>1000000000000</v>
      </c>
    </row>
    <row r="40" customFormat="false" ht="35.05" hidden="false" customHeight="false" outlineLevel="0" collapsed="false">
      <c r="A40" s="48" t="str">
        <f aca="true">IFERROR(IF(AUTOEVENTO="Manual",IF(K40&lt;&gt;"",MIN(VALUE(LEFT(K40,FIND(".",K40)-1)),COUNTA(EVENTOS.Lista)),0),IF(OR($B40&gt;AUTOEVENTO,$B40="S",$B40=0),SUBSTITUTE(OFFSET($A40,-1,0),IF($D40="Serviço",".",""),""),$L40&amp;".")),0)</f>
        <v>23</v>
      </c>
      <c r="B40" s="48" t="str">
        <f aca="true">OFFSET(ORÇAMENTO!C$15,$L40,0)</f>
        <v>S</v>
      </c>
      <c r="C40" s="48" t="str">
        <f aca="true">OFFSET(ORÇAMENTO!L$15,$L40,0)</f>
        <v/>
      </c>
      <c r="D40" s="206" t="str">
        <f aca="true">OFFSET(ORÇAMENTO!N$15,$L40,0)</f>
        <v>Serviço</v>
      </c>
      <c r="E40" s="207" t="str">
        <f aca="true">OFFSET(ORÇAMENTO!O$15,$L40,0)</f>
        <v>-</v>
      </c>
      <c r="F40" s="343" t="str">
        <f aca="true">OFFSET(ORÇAMENTO!R$15,$L40,0)</f>
        <v>(Código não identificado nas referências)</v>
      </c>
      <c r="G40" s="344" t="str">
        <f aca="true">IF($D40&lt;&gt;"Serviço","",OFFSET(ORÇAMENTO!S$15,$L40,0))</f>
        <v>-</v>
      </c>
      <c r="H40" s="212" t="n">
        <f aca="true" t="array" ref="H40:H40">IF($D40&lt;&gt;"Serviço",0,IF(ACOMPANHAMENTO="BM",ROUND(OFFSET(ORÇAMENTO!AJ$15,$L40,0),15-13*ORÇAMENTO!$AF$7),IF(IFERROR(CÁLCULO.FrentesPreenchidas,0)=0,0,SUM(ROUND(OFFSET($P40,0,1,1,CÁLCULO.FrentesPreenchidas),15-13*ORÇAMENTO!$AF$7)))))</f>
        <v>65</v>
      </c>
      <c r="I40" s="345" t="s">
        <v>905</v>
      </c>
      <c r="J40" s="346" t="str">
        <f aca="false" t="array" ref="J40:J40">IF(OR(B40&lt;&gt;"S",CÁLCULO.FrentesPreenchidas=0),"",IF(AND(ACOMPANHAMENTO="PLE",AUTOEVENTO="Manual",OR(H40&gt;0,ORÇAMENTO!AC40="QUANT."),OR(K40="",M40=0,N40="")),"►E",IF(AND(ACOMPANHAMENTO="PLE",ORÇAMENTO!AC40="QUANT."),"►Q",IF(AND(ACOMPANHAMENTO="PLE",H40&lt;&gt;SUMPRODUCT(($Q$1:$AA$1=1)*ROUND(Q40:AA40,15))),"►S",IF(AND(COUNTIF($P$11:$AA$11,"▼")=0,H40&gt;0,I40=""),"◄M","")))))</f>
        <v/>
      </c>
      <c r="K40" s="347"/>
      <c r="L40" s="348" t="n">
        <f aca="true">OFFSET(L40,-1,0)+1</f>
        <v>25</v>
      </c>
      <c r="M40" s="349" t="n">
        <f aca="true">IF($D40&lt;&gt;"Serviço","",
          IF(AUTOEVENTO="manual",$A40,
                IF(ISERROR(MATCH($A40,$A$15:OFFSET($A40,-1,0),0)),MAX($M$15:OFFSET(M40,-1,0))+1,
                      INDEX($M$15:OFFSET(M40,-1,0),MATCH($A40,$A$15:OFFSET($A40,-1,0),0)))))</f>
        <v>7</v>
      </c>
      <c r="N40" s="350" t="str">
        <f aca="true">IF($D40&lt;&gt;"Serviço","",
         IF(AUTOEVENTO="Manual",
                IF($A40=0,"&lt;-- defina o número do agrupador",
                       OFFSET(EVENTOS!$D$15,$A40-$A$15,0)),
                OFFSET($F$15,$A40,0)))</f>
        <v>PAVIMENTAÇAO</v>
      </c>
      <c r="O40" s="351"/>
      <c r="Q40" s="351"/>
      <c r="R40" s="352"/>
      <c r="S40" s="352"/>
      <c r="T40" s="352"/>
      <c r="U40" s="352"/>
      <c r="V40" s="352"/>
      <c r="W40" s="352"/>
      <c r="X40" s="352"/>
      <c r="Y40" s="352"/>
      <c r="Z40" s="353"/>
      <c r="AB40" s="354" t="n">
        <f aca="true">IF(AND($D40="Serviço",AB$12&lt;&gt;0,$H40&gt;0,OR(AUTOEVENTO&lt;&gt;"manual",$M40&lt;&gt;$A$15)),
        IF(Import.TipoArredondamento&lt;&gt;"TransfereGOV",
              ROUND(OFFSET($P40,0,AB$13),15-13*ORÇAMENTO!$AF$7)/$H40*OFFSET(ORÇAMENTO!$X$15,ROW(AB40)-ROW(AB$15),0),
              ROUND(ROUND(OFFSET($P40,0,AB$13),15-13*ORÇAMENTO!$AF$7)*OFFSET(ORÇAMENTO!$W$15,ROW(AB40)-ROW(AB$15),0),15-13*ORÇAMENTO!$AF$11)),
         0)</f>
        <v>0</v>
      </c>
      <c r="AC40" s="354" t="n">
        <f aca="true">IF(AND($D40="Serviço",AC$12&lt;&gt;0,$H40&gt;0,OR(AUTOEVENTO&lt;&gt;"manual",$M40&lt;&gt;$A$15)),
        IF(Import.TipoArredondamento&lt;&gt;"TransfereGOV",
              ROUND(OFFSET($P40,0,AC$13),15-13*ORÇAMENTO!$AF$7)/$H40*OFFSET(ORÇAMENTO!$X$15,ROW(AC40)-ROW(AC$15),0),
              ROUND(ROUND(OFFSET($P40,0,AC$13),15-13*ORÇAMENTO!$AF$7)*OFFSET(ORÇAMENTO!$W$15,ROW(AC40)-ROW(AC$15),0),15-13*ORÇAMENTO!$AF$11)),
         0)</f>
        <v>0</v>
      </c>
      <c r="AD40" s="354" t="n">
        <f aca="true">IF(AND($D40="Serviço",AD$12&lt;&gt;0,$H40&gt;0,OR(AUTOEVENTO&lt;&gt;"manual",$M40&lt;&gt;$A$15)),
        IF(Import.TipoArredondamento&lt;&gt;"TransfereGOV",
              ROUND(OFFSET($P40,0,AD$13),15-13*ORÇAMENTO!$AF$7)/$H40*OFFSET(ORÇAMENTO!$X$15,ROW(AD40)-ROW(AD$15),0),
              ROUND(ROUND(OFFSET($P40,0,AD$13),15-13*ORÇAMENTO!$AF$7)*OFFSET(ORÇAMENTO!$W$15,ROW(AD40)-ROW(AD$15),0),15-13*ORÇAMENTO!$AF$11)),
         0)</f>
        <v>0</v>
      </c>
      <c r="AE40" s="354" t="n">
        <f aca="true">IF(AND($D40="Serviço",AE$12&lt;&gt;0,$H40&gt;0,OR(AUTOEVENTO&lt;&gt;"manual",$M40&lt;&gt;$A$15)),
        IF(Import.TipoArredondamento&lt;&gt;"TransfereGOV",
              ROUND(OFFSET($P40,0,AE$13),15-13*ORÇAMENTO!$AF$7)/$H40*OFFSET(ORÇAMENTO!$X$15,ROW(AE40)-ROW(AE$15),0),
              ROUND(ROUND(OFFSET($P40,0,AE$13),15-13*ORÇAMENTO!$AF$7)*OFFSET(ORÇAMENTO!$W$15,ROW(AE40)-ROW(AE$15),0),15-13*ORÇAMENTO!$AF$11)),
         0)</f>
        <v>0</v>
      </c>
      <c r="AF40" s="354" t="n">
        <f aca="true">IF(AND($D40="Serviço",AF$12&lt;&gt;0,$H40&gt;0,OR(AUTOEVENTO&lt;&gt;"manual",$M40&lt;&gt;$A$15)),
        IF(Import.TipoArredondamento&lt;&gt;"TransfereGOV",
              ROUND(OFFSET($P40,0,AF$13),15-13*ORÇAMENTO!$AF$7)/$H40*OFFSET(ORÇAMENTO!$X$15,ROW(AF40)-ROW(AF$15),0),
              ROUND(ROUND(OFFSET($P40,0,AF$13),15-13*ORÇAMENTO!$AF$7)*OFFSET(ORÇAMENTO!$W$15,ROW(AF40)-ROW(AF$15),0),15-13*ORÇAMENTO!$AF$11)),
         0)</f>
        <v>0</v>
      </c>
      <c r="AG40" s="354" t="n">
        <f aca="true">IF(AND($D40="Serviço",AG$12&lt;&gt;0,$H40&gt;0,OR(AUTOEVENTO&lt;&gt;"manual",$M40&lt;&gt;$A$15)),
        IF(Import.TipoArredondamento&lt;&gt;"TransfereGOV",
              ROUND(OFFSET($P40,0,AG$13),15-13*ORÇAMENTO!$AF$7)/$H40*OFFSET(ORÇAMENTO!$X$15,ROW(AG40)-ROW(AG$15),0),
              ROUND(ROUND(OFFSET($P40,0,AG$13),15-13*ORÇAMENTO!$AF$7)*OFFSET(ORÇAMENTO!$W$15,ROW(AG40)-ROW(AG$15),0),15-13*ORÇAMENTO!$AF$11)),
         0)</f>
        <v>0</v>
      </c>
      <c r="AH40" s="354" t="n">
        <f aca="true">IF(AND($D40="Serviço",AH$12&lt;&gt;0,$H40&gt;0,OR(AUTOEVENTO&lt;&gt;"manual",$M40&lt;&gt;$A$15)),
        IF(Import.TipoArredondamento&lt;&gt;"TransfereGOV",
              ROUND(OFFSET($P40,0,AH$13),15-13*ORÇAMENTO!$AF$7)/$H40*OFFSET(ORÇAMENTO!$X$15,ROW(AH40)-ROW(AH$15),0),
              ROUND(ROUND(OFFSET($P40,0,AH$13),15-13*ORÇAMENTO!$AF$7)*OFFSET(ORÇAMENTO!$W$15,ROW(AH40)-ROW(AH$15),0),15-13*ORÇAMENTO!$AF$11)),
         0)</f>
        <v>0</v>
      </c>
      <c r="AI40" s="354" t="n">
        <f aca="true">IF(AND($D40="Serviço",AI$12&lt;&gt;0,$H40&gt;0,OR(AUTOEVENTO&lt;&gt;"manual",$M40&lt;&gt;$A$15)),
        IF(Import.TipoArredondamento&lt;&gt;"TransfereGOV",
              ROUND(OFFSET($P40,0,AI$13),15-13*ORÇAMENTO!$AF$7)/$H40*OFFSET(ORÇAMENTO!$X$15,ROW(AI40)-ROW(AI$15),0),
              ROUND(ROUND(OFFSET($P40,0,AI$13),15-13*ORÇAMENTO!$AF$7)*OFFSET(ORÇAMENTO!$W$15,ROW(AI40)-ROW(AI$15),0),15-13*ORÇAMENTO!$AF$11)),
         0)</f>
        <v>0</v>
      </c>
      <c r="AJ40" s="354" t="n">
        <f aca="true">IF(AND($D40="Serviço",AJ$12&lt;&gt;0,$H40&gt;0,OR(AUTOEVENTO&lt;&gt;"manual",$M40&lt;&gt;$A$15)),
        IF(Import.TipoArredondamento&lt;&gt;"TransfereGOV",
              ROUND(OFFSET($P40,0,AJ$13),15-13*ORÇAMENTO!$AF$7)/$H40*OFFSET(ORÇAMENTO!$X$15,ROW(AJ40)-ROW(AJ$15),0),
              ROUND(ROUND(OFFSET($P40,0,AJ$13),15-13*ORÇAMENTO!$AF$7)*OFFSET(ORÇAMENTO!$W$15,ROW(AJ40)-ROW(AJ$15),0),15-13*ORÇAMENTO!$AF$11)),
         0)</f>
        <v>0</v>
      </c>
      <c r="AK40" s="354" t="n">
        <f aca="true">IF(AND($D40="Serviço",AK$12&lt;&gt;0,$H40&gt;0,OR(AUTOEVENTO&lt;&gt;"manual",$M40&lt;&gt;$A$15)),
        IF(Import.TipoArredondamento&lt;&gt;"TransfereGOV",
              ROUND(OFFSET($P40,0,AK$13),15-13*ORÇAMENTO!$AF$7)/$H40*OFFSET(ORÇAMENTO!$X$15,ROW(AK40)-ROW(AK$15),0),
              ROUND(ROUND(OFFSET($P40,0,AK$13),15-13*ORÇAMENTO!$AF$7)*OFFSET(ORÇAMENTO!$W$15,ROW(AK40)-ROW(AK$15),0),15-13*ORÇAMENTO!$AF$11)),
         0)</f>
        <v>0</v>
      </c>
      <c r="AM40" s="355" t="n">
        <f aca="true">IF(OR($D40&lt;&gt;"Serviço",AND(AUTOEVENTO="Manual",$M40=$A$15)),0,
         IF(OFFSET(CRONOPLE!$F$15,$M40-$A$15,AM$13)=0,10^12,OFFSET(CRONOPLE!$F$15,$M40-$A$15,AM$13)))</f>
        <v>1000000000000</v>
      </c>
      <c r="AN40" s="355" t="n">
        <f aca="true">IF(OR($D40&lt;&gt;"Serviço",AND(AUTOEVENTO="Manual",$M40=$A$15)),0,
         IF(OFFSET(CRONOPLE!$F$15,$M40-$A$15,AN$13)=0,10^12,OFFSET(CRONOPLE!$F$15,$M40-$A$15,AN$13)))</f>
        <v>1000000000000</v>
      </c>
      <c r="AO40" s="355" t="n">
        <f aca="true">IF(OR($D40&lt;&gt;"Serviço",AND(AUTOEVENTO="Manual",$M40=$A$15)),0,
         IF(OFFSET(CRONOPLE!$F$15,$M40-$A$15,AO$13)=0,10^12,OFFSET(CRONOPLE!$F$15,$M40-$A$15,AO$13)))</f>
        <v>1000000000000</v>
      </c>
      <c r="AP40" s="355" t="n">
        <f aca="true">IF(OR($D40&lt;&gt;"Serviço",AND(AUTOEVENTO="Manual",$M40=$A$15)),0,
         IF(OFFSET(CRONOPLE!$F$15,$M40-$A$15,AP$13)=0,10^12,OFFSET(CRONOPLE!$F$15,$M40-$A$15,AP$13)))</f>
        <v>1000000000000</v>
      </c>
      <c r="AQ40" s="355" t="n">
        <f aca="true">IF(OR($D40&lt;&gt;"Serviço",AND(AUTOEVENTO="Manual",$M40=$A$15)),0,
         IF(OFFSET(CRONOPLE!$F$15,$M40-$A$15,AQ$13)=0,10^12,OFFSET(CRONOPLE!$F$15,$M40-$A$15,AQ$13)))</f>
        <v>1000000000000</v>
      </c>
      <c r="AR40" s="355" t="n">
        <f aca="true">IF(OR($D40&lt;&gt;"Serviço",AND(AUTOEVENTO="Manual",$M40=$A$15)),0,
         IF(OFFSET(CRONOPLE!$F$15,$M40-$A$15,AR$13)=0,10^12,OFFSET(CRONOPLE!$F$15,$M40-$A$15,AR$13)))</f>
        <v>1000000000000</v>
      </c>
      <c r="AS40" s="355" t="n">
        <f aca="true">IF(OR($D40&lt;&gt;"Serviço",AND(AUTOEVENTO="Manual",$M40=$A$15)),0,
         IF(OFFSET(CRONOPLE!$F$15,$M40-$A$15,AS$13)=0,10^12,OFFSET(CRONOPLE!$F$15,$M40-$A$15,AS$13)))</f>
        <v>1000000000000</v>
      </c>
      <c r="AT40" s="355" t="n">
        <f aca="true">IF(OR($D40&lt;&gt;"Serviço",AND(AUTOEVENTO="Manual",$M40=$A$15)),0,
         IF(OFFSET(CRONOPLE!$F$15,$M40-$A$15,AT$13)=0,10^12,OFFSET(CRONOPLE!$F$15,$M40-$A$15,AT$13)))</f>
        <v>1000000000000</v>
      </c>
      <c r="AU40" s="355" t="n">
        <f aca="true">IF(OR($D40&lt;&gt;"Serviço",AND(AUTOEVENTO="Manual",$M40=$A$15)),0,
         IF(OFFSET(CRONOPLE!$F$15,$M40-$A$15,AU$13)=0,10^12,OFFSET(CRONOPLE!$F$15,$M40-$A$15,AU$13)))</f>
        <v>1000000000000</v>
      </c>
      <c r="AV40" s="355" t="n">
        <f aca="true">IF(OR($D40&lt;&gt;"Serviço",AND(AUTOEVENTO="Manual",$M40=$A$15)),0,
         IF(OFFSET(CRONOPLE!$F$15,$M40-$A$15,AV$13)=0,10^12,OFFSET(CRONOPLE!$F$15,$M40-$A$15,AV$13)))</f>
        <v>1000000000000</v>
      </c>
      <c r="AX40" s="356" t="n">
        <f aca="true" t="array" ref="AX40:AX40">IF(OR($D40&lt;&gt;"Serviço",AND(AUTOEVENTO="Manual",$M40=$A$15),$M40&gt;(ROW(PLE.lastrow)-ROW(PLE.firstrow))),0,
           IF(OFFSET(PLE!$G$15,$M40-$A$15,AX$13)="",10^12,OFFSET(PLE!$G$15,$M40-$A$15,AX$13)))</f>
        <v>1000000000000</v>
      </c>
      <c r="AY40" s="356" t="n">
        <f aca="true" t="array" ref="AY40:AY40">IF(OR($D40&lt;&gt;"Serviço",AND(AUTOEVENTO="Manual",$M40=$A$15),$M40&gt;(ROW(PLE.lastrow)-ROW(PLE.firstrow))),0,
           IF(OFFSET(PLE!$G$15,$M40-$A$15,AY$13)="",10^12,OFFSET(PLE!$G$15,$M40-$A$15,AY$13)))</f>
        <v>1000000000000</v>
      </c>
      <c r="AZ40" s="356" t="n">
        <f aca="true" t="array" ref="AZ40:AZ40">IF(OR($D40&lt;&gt;"Serviço",AND(AUTOEVENTO="Manual",$M40=$A$15),$M40&gt;(ROW(PLE.lastrow)-ROW(PLE.firstrow))),0,
           IF(OFFSET(PLE!$G$15,$M40-$A$15,AZ$13)="",10^12,OFFSET(PLE!$G$15,$M40-$A$15,AZ$13)))</f>
        <v>1000000000000</v>
      </c>
      <c r="BA40" s="356" t="n">
        <f aca="true" t="array" ref="BA40:BA40">IF(OR($D40&lt;&gt;"Serviço",AND(AUTOEVENTO="Manual",$M40=$A$15),$M40&gt;(ROW(PLE.lastrow)-ROW(PLE.firstrow))),0,
           IF(OFFSET(PLE!$G$15,$M40-$A$15,BA$13)="",10^12,OFFSET(PLE!$G$15,$M40-$A$15,BA$13)))</f>
        <v>1000000000000</v>
      </c>
      <c r="BB40" s="356" t="n">
        <f aca="true" t="array" ref="BB40:BB40">IF(OR($D40&lt;&gt;"Serviço",AND(AUTOEVENTO="Manual",$M40=$A$15),$M40&gt;(ROW(PLE.lastrow)-ROW(PLE.firstrow))),0,
           IF(OFFSET(PLE!$G$15,$M40-$A$15,BB$13)="",10^12,OFFSET(PLE!$G$15,$M40-$A$15,BB$13)))</f>
        <v>1000000000000</v>
      </c>
      <c r="BC40" s="356" t="n">
        <f aca="true" t="array" ref="BC40:BC40">IF(OR($D40&lt;&gt;"Serviço",AND(AUTOEVENTO="Manual",$M40=$A$15),$M40&gt;(ROW(PLE.lastrow)-ROW(PLE.firstrow))),0,
           IF(OFFSET(PLE!$G$15,$M40-$A$15,BC$13)="",10^12,OFFSET(PLE!$G$15,$M40-$A$15,BC$13)))</f>
        <v>1000000000000</v>
      </c>
      <c r="BD40" s="356" t="n">
        <f aca="true" t="array" ref="BD40:BD40">IF(OR($D40&lt;&gt;"Serviço",AND(AUTOEVENTO="Manual",$M40=$A$15),$M40&gt;(ROW(PLE.lastrow)-ROW(PLE.firstrow))),0,
           IF(OFFSET(PLE!$G$15,$M40-$A$15,BD$13)="",10^12,OFFSET(PLE!$G$15,$M40-$A$15,BD$13)))</f>
        <v>1000000000000</v>
      </c>
      <c r="BE40" s="356" t="n">
        <f aca="true" t="array" ref="BE40:BE40">IF(OR($D40&lt;&gt;"Serviço",AND(AUTOEVENTO="Manual",$M40=$A$15),$M40&gt;(ROW(PLE.lastrow)-ROW(PLE.firstrow))),0,
           IF(OFFSET(PLE!$G$15,$M40-$A$15,BE$13)="",10^12,OFFSET(PLE!$G$15,$M40-$A$15,BE$13)))</f>
        <v>1000000000000</v>
      </c>
      <c r="BF40" s="356" t="n">
        <f aca="true" t="array" ref="BF40:BF40">IF(OR($D40&lt;&gt;"Serviço",AND(AUTOEVENTO="Manual",$M40=$A$15),$M40&gt;(ROW(PLE.lastrow)-ROW(PLE.firstrow))),0,
           IF(OFFSET(PLE!$G$15,$M40-$A$15,BF$13)="",10^12,OFFSET(PLE!$G$15,$M40-$A$15,BF$13)))</f>
        <v>1000000000000</v>
      </c>
      <c r="BG40" s="356" t="n">
        <f aca="true" t="array" ref="BG40:BG40">IF(OR($D40&lt;&gt;"Serviço",AND(AUTOEVENTO="Manual",$M40=$A$15),$M40&gt;(ROW(PLE.lastrow)-ROW(PLE.firstrow))),0,
           IF(OFFSET(PLE!$G$15,$M40-$A$15,BG$13)="",10^12,OFFSET(PLE!$G$15,$M40-$A$15,BG$13)))</f>
        <v>1000000000000</v>
      </c>
    </row>
    <row r="41" customFormat="false" ht="12.75" hidden="false" customHeight="false" outlineLevel="0" collapsed="false">
      <c r="A41" s="48" t="str">
        <f aca="true">IFERROR(IF(AUTOEVENTO="Manual",IF(K41&lt;&gt;"",MIN(VALUE(LEFT(K41,FIND(".",K41)-1)),COUNTA(EVENTOS.Lista)),0),IF(OR($B41&gt;AUTOEVENTO,$B41="S",$B41=0),SUBSTITUTE(OFFSET($A41,-1,0),IF($D41="Serviço",".",""),""),$L41&amp;".")),0)</f>
        <v>23</v>
      </c>
      <c r="B41" s="48" t="str">
        <f aca="true">OFFSET(ORÇAMENTO!C$15,$L41,0)</f>
        <v>S</v>
      </c>
      <c r="C41" s="48" t="str">
        <f aca="true">OFFSET(ORÇAMENTO!L$15,$L41,0)</f>
        <v/>
      </c>
      <c r="D41" s="206" t="str">
        <f aca="true">OFFSET(ORÇAMENTO!N$15,$L41,0)</f>
        <v>Serviço</v>
      </c>
      <c r="E41" s="207" t="str">
        <f aca="true">OFFSET(ORÇAMENTO!O$15,$L41,0)</f>
        <v>-</v>
      </c>
      <c r="F41" s="343" t="str">
        <f aca="true">OFFSET(ORÇAMENTO!R$15,$L41,0)</f>
        <v>(Código não identificado nas referências)</v>
      </c>
      <c r="G41" s="344" t="str">
        <f aca="true">IF($D41&lt;&gt;"Serviço","",OFFSET(ORÇAMENTO!S$15,$L41,0))</f>
        <v>-</v>
      </c>
      <c r="H41" s="212" t="n">
        <f aca="true" t="array" ref="H41:H41">IF($D41&lt;&gt;"Serviço",0,IF(ACOMPANHAMENTO="BM",ROUND(OFFSET(ORÇAMENTO!AJ$15,$L41,0),15-13*ORÇAMENTO!$AF$7),IF(IFERROR(CÁLCULO.FrentesPreenchidas,0)=0,0,SUM(ROUND(OFFSET($P41,0,1,1,CÁLCULO.FrentesPreenchidas),15-13*ORÇAMENTO!$AF$7)))))</f>
        <v>1</v>
      </c>
      <c r="I41" s="345" t="s">
        <v>896</v>
      </c>
      <c r="J41" s="346" t="str">
        <f aca="false" t="array" ref="J41:J41">IF(OR(B41&lt;&gt;"S",CÁLCULO.FrentesPreenchidas=0),"",IF(AND(ACOMPANHAMENTO="PLE",AUTOEVENTO="Manual",OR(H41&gt;0,ORÇAMENTO!AC41="QUANT."),OR(K41="",M41=0,N41="")),"►E",IF(AND(ACOMPANHAMENTO="PLE",ORÇAMENTO!AC41="QUANT."),"►Q",IF(AND(ACOMPANHAMENTO="PLE",H41&lt;&gt;SUMPRODUCT(($Q$1:$AA$1=1)*ROUND(Q41:AA41,15))),"►S",IF(AND(COUNTIF($P$11:$AA$11,"▼")=0,H41&gt;0,I41=""),"◄M","")))))</f>
        <v/>
      </c>
      <c r="K41" s="347"/>
      <c r="L41" s="348" t="n">
        <f aca="true">OFFSET(L41,-1,0)+1</f>
        <v>26</v>
      </c>
      <c r="M41" s="349" t="n">
        <f aca="true">IF($D41&lt;&gt;"Serviço","",
          IF(AUTOEVENTO="manual",$A41,
                IF(ISERROR(MATCH($A41,$A$15:OFFSET($A41,-1,0),0)),MAX($M$15:OFFSET(M41,-1,0))+1,
                      INDEX($M$15:OFFSET(M41,-1,0),MATCH($A41,$A$15:OFFSET($A41,-1,0),0)))))</f>
        <v>7</v>
      </c>
      <c r="N41" s="350" t="str">
        <f aca="true">IF($D41&lt;&gt;"Serviço","",
         IF(AUTOEVENTO="Manual",
                IF($A41=0,"&lt;-- defina o número do agrupador",
                       OFFSET(EVENTOS!$D$15,$A41-$A$15,0)),
                OFFSET($F$15,$A41,0)))</f>
        <v>PAVIMENTAÇAO</v>
      </c>
      <c r="O41" s="351"/>
      <c r="Q41" s="351"/>
      <c r="R41" s="352"/>
      <c r="S41" s="352"/>
      <c r="T41" s="352"/>
      <c r="U41" s="352"/>
      <c r="V41" s="352"/>
      <c r="W41" s="352"/>
      <c r="X41" s="352"/>
      <c r="Y41" s="352"/>
      <c r="Z41" s="353"/>
      <c r="AB41" s="354" t="n">
        <f aca="true">IF(AND($D41="Serviço",AB$12&lt;&gt;0,$H41&gt;0,OR(AUTOEVENTO&lt;&gt;"manual",$M41&lt;&gt;$A$15)),
        IF(Import.TipoArredondamento&lt;&gt;"TransfereGOV",
              ROUND(OFFSET($P41,0,AB$13),15-13*ORÇAMENTO!$AF$7)/$H41*OFFSET(ORÇAMENTO!$X$15,ROW(AB41)-ROW(AB$15),0),
              ROUND(ROUND(OFFSET($P41,0,AB$13),15-13*ORÇAMENTO!$AF$7)*OFFSET(ORÇAMENTO!$W$15,ROW(AB41)-ROW(AB$15),0),15-13*ORÇAMENTO!$AF$11)),
         0)</f>
        <v>0</v>
      </c>
      <c r="AC41" s="354" t="n">
        <f aca="true">IF(AND($D41="Serviço",AC$12&lt;&gt;0,$H41&gt;0,OR(AUTOEVENTO&lt;&gt;"manual",$M41&lt;&gt;$A$15)),
        IF(Import.TipoArredondamento&lt;&gt;"TransfereGOV",
              ROUND(OFFSET($P41,0,AC$13),15-13*ORÇAMENTO!$AF$7)/$H41*OFFSET(ORÇAMENTO!$X$15,ROW(AC41)-ROW(AC$15),0),
              ROUND(ROUND(OFFSET($P41,0,AC$13),15-13*ORÇAMENTO!$AF$7)*OFFSET(ORÇAMENTO!$W$15,ROW(AC41)-ROW(AC$15),0),15-13*ORÇAMENTO!$AF$11)),
         0)</f>
        <v>0</v>
      </c>
      <c r="AD41" s="354" t="n">
        <f aca="true">IF(AND($D41="Serviço",AD$12&lt;&gt;0,$H41&gt;0,OR(AUTOEVENTO&lt;&gt;"manual",$M41&lt;&gt;$A$15)),
        IF(Import.TipoArredondamento&lt;&gt;"TransfereGOV",
              ROUND(OFFSET($P41,0,AD$13),15-13*ORÇAMENTO!$AF$7)/$H41*OFFSET(ORÇAMENTO!$X$15,ROW(AD41)-ROW(AD$15),0),
              ROUND(ROUND(OFFSET($P41,0,AD$13),15-13*ORÇAMENTO!$AF$7)*OFFSET(ORÇAMENTO!$W$15,ROW(AD41)-ROW(AD$15),0),15-13*ORÇAMENTO!$AF$11)),
         0)</f>
        <v>0</v>
      </c>
      <c r="AE41" s="354" t="n">
        <f aca="true">IF(AND($D41="Serviço",AE$12&lt;&gt;0,$H41&gt;0,OR(AUTOEVENTO&lt;&gt;"manual",$M41&lt;&gt;$A$15)),
        IF(Import.TipoArredondamento&lt;&gt;"TransfereGOV",
              ROUND(OFFSET($P41,0,AE$13),15-13*ORÇAMENTO!$AF$7)/$H41*OFFSET(ORÇAMENTO!$X$15,ROW(AE41)-ROW(AE$15),0),
              ROUND(ROUND(OFFSET($P41,0,AE$13),15-13*ORÇAMENTO!$AF$7)*OFFSET(ORÇAMENTO!$W$15,ROW(AE41)-ROW(AE$15),0),15-13*ORÇAMENTO!$AF$11)),
         0)</f>
        <v>0</v>
      </c>
      <c r="AF41" s="354" t="n">
        <f aca="true">IF(AND($D41="Serviço",AF$12&lt;&gt;0,$H41&gt;0,OR(AUTOEVENTO&lt;&gt;"manual",$M41&lt;&gt;$A$15)),
        IF(Import.TipoArredondamento&lt;&gt;"TransfereGOV",
              ROUND(OFFSET($P41,0,AF$13),15-13*ORÇAMENTO!$AF$7)/$H41*OFFSET(ORÇAMENTO!$X$15,ROW(AF41)-ROW(AF$15),0),
              ROUND(ROUND(OFFSET($P41,0,AF$13),15-13*ORÇAMENTO!$AF$7)*OFFSET(ORÇAMENTO!$W$15,ROW(AF41)-ROW(AF$15),0),15-13*ORÇAMENTO!$AF$11)),
         0)</f>
        <v>0</v>
      </c>
      <c r="AG41" s="354" t="n">
        <f aca="true">IF(AND($D41="Serviço",AG$12&lt;&gt;0,$H41&gt;0,OR(AUTOEVENTO&lt;&gt;"manual",$M41&lt;&gt;$A$15)),
        IF(Import.TipoArredondamento&lt;&gt;"TransfereGOV",
              ROUND(OFFSET($P41,0,AG$13),15-13*ORÇAMENTO!$AF$7)/$H41*OFFSET(ORÇAMENTO!$X$15,ROW(AG41)-ROW(AG$15),0),
              ROUND(ROUND(OFFSET($P41,0,AG$13),15-13*ORÇAMENTO!$AF$7)*OFFSET(ORÇAMENTO!$W$15,ROW(AG41)-ROW(AG$15),0),15-13*ORÇAMENTO!$AF$11)),
         0)</f>
        <v>0</v>
      </c>
      <c r="AH41" s="354" t="n">
        <f aca="true">IF(AND($D41="Serviço",AH$12&lt;&gt;0,$H41&gt;0,OR(AUTOEVENTO&lt;&gt;"manual",$M41&lt;&gt;$A$15)),
        IF(Import.TipoArredondamento&lt;&gt;"TransfereGOV",
              ROUND(OFFSET($P41,0,AH$13),15-13*ORÇAMENTO!$AF$7)/$H41*OFFSET(ORÇAMENTO!$X$15,ROW(AH41)-ROW(AH$15),0),
              ROUND(ROUND(OFFSET($P41,0,AH$13),15-13*ORÇAMENTO!$AF$7)*OFFSET(ORÇAMENTO!$W$15,ROW(AH41)-ROW(AH$15),0),15-13*ORÇAMENTO!$AF$11)),
         0)</f>
        <v>0</v>
      </c>
      <c r="AI41" s="354" t="n">
        <f aca="true">IF(AND($D41="Serviço",AI$12&lt;&gt;0,$H41&gt;0,OR(AUTOEVENTO&lt;&gt;"manual",$M41&lt;&gt;$A$15)),
        IF(Import.TipoArredondamento&lt;&gt;"TransfereGOV",
              ROUND(OFFSET($P41,0,AI$13),15-13*ORÇAMENTO!$AF$7)/$H41*OFFSET(ORÇAMENTO!$X$15,ROW(AI41)-ROW(AI$15),0),
              ROUND(ROUND(OFFSET($P41,0,AI$13),15-13*ORÇAMENTO!$AF$7)*OFFSET(ORÇAMENTO!$W$15,ROW(AI41)-ROW(AI$15),0),15-13*ORÇAMENTO!$AF$11)),
         0)</f>
        <v>0</v>
      </c>
      <c r="AJ41" s="354" t="n">
        <f aca="true">IF(AND($D41="Serviço",AJ$12&lt;&gt;0,$H41&gt;0,OR(AUTOEVENTO&lt;&gt;"manual",$M41&lt;&gt;$A$15)),
        IF(Import.TipoArredondamento&lt;&gt;"TransfereGOV",
              ROUND(OFFSET($P41,0,AJ$13),15-13*ORÇAMENTO!$AF$7)/$H41*OFFSET(ORÇAMENTO!$X$15,ROW(AJ41)-ROW(AJ$15),0),
              ROUND(ROUND(OFFSET($P41,0,AJ$13),15-13*ORÇAMENTO!$AF$7)*OFFSET(ORÇAMENTO!$W$15,ROW(AJ41)-ROW(AJ$15),0),15-13*ORÇAMENTO!$AF$11)),
         0)</f>
        <v>0</v>
      </c>
      <c r="AK41" s="354" t="n">
        <f aca="true">IF(AND($D41="Serviço",AK$12&lt;&gt;0,$H41&gt;0,OR(AUTOEVENTO&lt;&gt;"manual",$M41&lt;&gt;$A$15)),
        IF(Import.TipoArredondamento&lt;&gt;"TransfereGOV",
              ROUND(OFFSET($P41,0,AK$13),15-13*ORÇAMENTO!$AF$7)/$H41*OFFSET(ORÇAMENTO!$X$15,ROW(AK41)-ROW(AK$15),0),
              ROUND(ROUND(OFFSET($P41,0,AK$13),15-13*ORÇAMENTO!$AF$7)*OFFSET(ORÇAMENTO!$W$15,ROW(AK41)-ROW(AK$15),0),15-13*ORÇAMENTO!$AF$11)),
         0)</f>
        <v>0</v>
      </c>
      <c r="AM41" s="355" t="n">
        <f aca="true">IF(OR($D41&lt;&gt;"Serviço",AND(AUTOEVENTO="Manual",$M41=$A$15)),0,
         IF(OFFSET(CRONOPLE!$F$15,$M41-$A$15,AM$13)=0,10^12,OFFSET(CRONOPLE!$F$15,$M41-$A$15,AM$13)))</f>
        <v>1000000000000</v>
      </c>
      <c r="AN41" s="355" t="n">
        <f aca="true">IF(OR($D41&lt;&gt;"Serviço",AND(AUTOEVENTO="Manual",$M41=$A$15)),0,
         IF(OFFSET(CRONOPLE!$F$15,$M41-$A$15,AN$13)=0,10^12,OFFSET(CRONOPLE!$F$15,$M41-$A$15,AN$13)))</f>
        <v>1000000000000</v>
      </c>
      <c r="AO41" s="355" t="n">
        <f aca="true">IF(OR($D41&lt;&gt;"Serviço",AND(AUTOEVENTO="Manual",$M41=$A$15)),0,
         IF(OFFSET(CRONOPLE!$F$15,$M41-$A$15,AO$13)=0,10^12,OFFSET(CRONOPLE!$F$15,$M41-$A$15,AO$13)))</f>
        <v>1000000000000</v>
      </c>
      <c r="AP41" s="355" t="n">
        <f aca="true">IF(OR($D41&lt;&gt;"Serviço",AND(AUTOEVENTO="Manual",$M41=$A$15)),0,
         IF(OFFSET(CRONOPLE!$F$15,$M41-$A$15,AP$13)=0,10^12,OFFSET(CRONOPLE!$F$15,$M41-$A$15,AP$13)))</f>
        <v>1000000000000</v>
      </c>
      <c r="AQ41" s="355" t="n">
        <f aca="true">IF(OR($D41&lt;&gt;"Serviço",AND(AUTOEVENTO="Manual",$M41=$A$15)),0,
         IF(OFFSET(CRONOPLE!$F$15,$M41-$A$15,AQ$13)=0,10^12,OFFSET(CRONOPLE!$F$15,$M41-$A$15,AQ$13)))</f>
        <v>1000000000000</v>
      </c>
      <c r="AR41" s="355" t="n">
        <f aca="true">IF(OR($D41&lt;&gt;"Serviço",AND(AUTOEVENTO="Manual",$M41=$A$15)),0,
         IF(OFFSET(CRONOPLE!$F$15,$M41-$A$15,AR$13)=0,10^12,OFFSET(CRONOPLE!$F$15,$M41-$A$15,AR$13)))</f>
        <v>1000000000000</v>
      </c>
      <c r="AS41" s="355" t="n">
        <f aca="true">IF(OR($D41&lt;&gt;"Serviço",AND(AUTOEVENTO="Manual",$M41=$A$15)),0,
         IF(OFFSET(CRONOPLE!$F$15,$M41-$A$15,AS$13)=0,10^12,OFFSET(CRONOPLE!$F$15,$M41-$A$15,AS$13)))</f>
        <v>1000000000000</v>
      </c>
      <c r="AT41" s="355" t="n">
        <f aca="true">IF(OR($D41&lt;&gt;"Serviço",AND(AUTOEVENTO="Manual",$M41=$A$15)),0,
         IF(OFFSET(CRONOPLE!$F$15,$M41-$A$15,AT$13)=0,10^12,OFFSET(CRONOPLE!$F$15,$M41-$A$15,AT$13)))</f>
        <v>1000000000000</v>
      </c>
      <c r="AU41" s="355" t="n">
        <f aca="true">IF(OR($D41&lt;&gt;"Serviço",AND(AUTOEVENTO="Manual",$M41=$A$15)),0,
         IF(OFFSET(CRONOPLE!$F$15,$M41-$A$15,AU$13)=0,10^12,OFFSET(CRONOPLE!$F$15,$M41-$A$15,AU$13)))</f>
        <v>1000000000000</v>
      </c>
      <c r="AV41" s="355" t="n">
        <f aca="true">IF(OR($D41&lt;&gt;"Serviço",AND(AUTOEVENTO="Manual",$M41=$A$15)),0,
         IF(OFFSET(CRONOPLE!$F$15,$M41-$A$15,AV$13)=0,10^12,OFFSET(CRONOPLE!$F$15,$M41-$A$15,AV$13)))</f>
        <v>1000000000000</v>
      </c>
      <c r="AX41" s="356" t="n">
        <f aca="true" t="array" ref="AX41:AX41">IF(OR($D41&lt;&gt;"Serviço",AND(AUTOEVENTO="Manual",$M41=$A$15),$M41&gt;(ROW(PLE.lastrow)-ROW(PLE.firstrow))),0,
           IF(OFFSET(PLE!$G$15,$M41-$A$15,AX$13)="",10^12,OFFSET(PLE!$G$15,$M41-$A$15,AX$13)))</f>
        <v>1000000000000</v>
      </c>
      <c r="AY41" s="356" t="n">
        <f aca="true" t="array" ref="AY41:AY41">IF(OR($D41&lt;&gt;"Serviço",AND(AUTOEVENTO="Manual",$M41=$A$15),$M41&gt;(ROW(PLE.lastrow)-ROW(PLE.firstrow))),0,
           IF(OFFSET(PLE!$G$15,$M41-$A$15,AY$13)="",10^12,OFFSET(PLE!$G$15,$M41-$A$15,AY$13)))</f>
        <v>1000000000000</v>
      </c>
      <c r="AZ41" s="356" t="n">
        <f aca="true" t="array" ref="AZ41:AZ41">IF(OR($D41&lt;&gt;"Serviço",AND(AUTOEVENTO="Manual",$M41=$A$15),$M41&gt;(ROW(PLE.lastrow)-ROW(PLE.firstrow))),0,
           IF(OFFSET(PLE!$G$15,$M41-$A$15,AZ$13)="",10^12,OFFSET(PLE!$G$15,$M41-$A$15,AZ$13)))</f>
        <v>1000000000000</v>
      </c>
      <c r="BA41" s="356" t="n">
        <f aca="true" t="array" ref="BA41:BA41">IF(OR($D41&lt;&gt;"Serviço",AND(AUTOEVENTO="Manual",$M41=$A$15),$M41&gt;(ROW(PLE.lastrow)-ROW(PLE.firstrow))),0,
           IF(OFFSET(PLE!$G$15,$M41-$A$15,BA$13)="",10^12,OFFSET(PLE!$G$15,$M41-$A$15,BA$13)))</f>
        <v>1000000000000</v>
      </c>
      <c r="BB41" s="356" t="n">
        <f aca="true" t="array" ref="BB41:BB41">IF(OR($D41&lt;&gt;"Serviço",AND(AUTOEVENTO="Manual",$M41=$A$15),$M41&gt;(ROW(PLE.lastrow)-ROW(PLE.firstrow))),0,
           IF(OFFSET(PLE!$G$15,$M41-$A$15,BB$13)="",10^12,OFFSET(PLE!$G$15,$M41-$A$15,BB$13)))</f>
        <v>1000000000000</v>
      </c>
      <c r="BC41" s="356" t="n">
        <f aca="true" t="array" ref="BC41:BC41">IF(OR($D41&lt;&gt;"Serviço",AND(AUTOEVENTO="Manual",$M41=$A$15),$M41&gt;(ROW(PLE.lastrow)-ROW(PLE.firstrow))),0,
           IF(OFFSET(PLE!$G$15,$M41-$A$15,BC$13)="",10^12,OFFSET(PLE!$G$15,$M41-$A$15,BC$13)))</f>
        <v>1000000000000</v>
      </c>
      <c r="BD41" s="356" t="n">
        <f aca="true" t="array" ref="BD41:BD41">IF(OR($D41&lt;&gt;"Serviço",AND(AUTOEVENTO="Manual",$M41=$A$15),$M41&gt;(ROW(PLE.lastrow)-ROW(PLE.firstrow))),0,
           IF(OFFSET(PLE!$G$15,$M41-$A$15,BD$13)="",10^12,OFFSET(PLE!$G$15,$M41-$A$15,BD$13)))</f>
        <v>1000000000000</v>
      </c>
      <c r="BE41" s="356" t="n">
        <f aca="true" t="array" ref="BE41:BE41">IF(OR($D41&lt;&gt;"Serviço",AND(AUTOEVENTO="Manual",$M41=$A$15),$M41&gt;(ROW(PLE.lastrow)-ROW(PLE.firstrow))),0,
           IF(OFFSET(PLE!$G$15,$M41-$A$15,BE$13)="",10^12,OFFSET(PLE!$G$15,$M41-$A$15,BE$13)))</f>
        <v>1000000000000</v>
      </c>
      <c r="BF41" s="356" t="n">
        <f aca="true" t="array" ref="BF41:BF41">IF(OR($D41&lt;&gt;"Serviço",AND(AUTOEVENTO="Manual",$M41=$A$15),$M41&gt;(ROW(PLE.lastrow)-ROW(PLE.firstrow))),0,
           IF(OFFSET(PLE!$G$15,$M41-$A$15,BF$13)="",10^12,OFFSET(PLE!$G$15,$M41-$A$15,BF$13)))</f>
        <v>1000000000000</v>
      </c>
      <c r="BG41" s="356" t="n">
        <f aca="true" t="array" ref="BG41:BG41">IF(OR($D41&lt;&gt;"Serviço",AND(AUTOEVENTO="Manual",$M41=$A$15),$M41&gt;(ROW(PLE.lastrow)-ROW(PLE.firstrow))),0,
           IF(OFFSET(PLE!$G$15,$M41-$A$15,BG$13)="",10^12,OFFSET(PLE!$G$15,$M41-$A$15,BG$13)))</f>
        <v>1000000000000</v>
      </c>
    </row>
    <row r="42" customFormat="false" ht="12.75" hidden="false" customHeight="false" outlineLevel="0" collapsed="false">
      <c r="A42" s="48" t="str">
        <f aca="true">IFERROR(IF(AUTOEVENTO="Manual",IF(K42&lt;&gt;"",MIN(VALUE(LEFT(K42,FIND(".",K42)-1)),COUNTA(EVENTOS.Lista)),0),IF(OR($B42&gt;AUTOEVENTO,$B42="S",$B42=0),SUBSTITUTE(OFFSET($A42,-1,0),IF($D42="Serviço",".",""),""),$L42&amp;".")),0)</f>
        <v>27.</v>
      </c>
      <c r="B42" s="48" t="n">
        <f aca="true">OFFSET(ORÇAMENTO!C$15,$L42,0)</f>
        <v>2</v>
      </c>
      <c r="C42" s="48" t="str">
        <f aca="true">OFFSET(ORÇAMENTO!L$15,$L42,0)</f>
        <v>F</v>
      </c>
      <c r="D42" s="206" t="str">
        <f aca="true">OFFSET(ORÇAMENTO!N$15,$L42,0)</f>
        <v>Nível 2</v>
      </c>
      <c r="E42" s="207" t="str">
        <f aca="true">OFFSET(ORÇAMENTO!O$15,$L42,0)</f>
        <v>1.8.</v>
      </c>
      <c r="F42" s="343" t="str">
        <f aca="true">OFFSET(ORÇAMENTO!R$15,$L42,0)</f>
        <v>EQUIPAMENTO</v>
      </c>
      <c r="G42" s="344" t="str">
        <f aca="true">IF($D42&lt;&gt;"Serviço","",OFFSET(ORÇAMENTO!S$15,$L42,0))</f>
        <v/>
      </c>
      <c r="H42" s="212" t="n">
        <f aca="true" t="array" ref="H42:H42">IF($D42&lt;&gt;"Serviço",0,IF(ACOMPANHAMENTO="BM",ROUND(OFFSET(ORÇAMENTO!AJ$15,$L42,0),15-13*ORÇAMENTO!$AF$7),IF(IFERROR(CÁLCULO.FrentesPreenchidas,0)=0,0,SUM(ROUND(OFFSET($P42,0,1,1,CÁLCULO.FrentesPreenchidas),15-13*ORÇAMENTO!$AF$7)))))</f>
        <v>0</v>
      </c>
      <c r="I42" s="345"/>
      <c r="J42" s="346" t="str">
        <f aca="false" t="array" ref="J42:J42">IF(OR(B42&lt;&gt;"S",CÁLCULO.FrentesPreenchidas=0),"",IF(AND(ACOMPANHAMENTO="PLE",AUTOEVENTO="Manual",OR(H42&gt;0,ORÇAMENTO!AC42="QUANT."),OR(K42="",M42=0,N42="")),"►E",IF(AND(ACOMPANHAMENTO="PLE",ORÇAMENTO!AC42="QUANT."),"►Q",IF(AND(ACOMPANHAMENTO="PLE",H42&lt;&gt;SUMPRODUCT(($Q$1:$AA$1=1)*ROUND(Q42:AA42,15))),"►S",IF(AND(COUNTIF($P$11:$AA$11,"▼")=0,H42&gt;0,I42=""),"◄M","")))))</f>
        <v/>
      </c>
      <c r="K42" s="347"/>
      <c r="L42" s="348" t="n">
        <f aca="true">OFFSET(L42,-1,0)+1</f>
        <v>27</v>
      </c>
      <c r="M42" s="349" t="str">
        <f aca="true">IF($D42&lt;&gt;"Serviço","",
          IF(AUTOEVENTO="manual",$A42,
                IF(ISERROR(MATCH($A42,$A$15:OFFSET($A42,-1,0),0)),MAX($M$15:OFFSET(M42,-1,0))+1,
                      INDEX($M$15:OFFSET(M42,-1,0),MATCH($A42,$A$15:OFFSET($A42,-1,0),0)))))</f>
        <v/>
      </c>
      <c r="N42" s="350" t="str">
        <f aca="true">IF($D42&lt;&gt;"Serviço","",
         IF(AUTOEVENTO="Manual",
                IF($A42=0,"&lt;-- defina o número do agrupador",
                       OFFSET(EVENTOS!$D$15,$A42-$A$15,0)),
                OFFSET($F$15,$A42,0)))</f>
        <v/>
      </c>
      <c r="O42" s="351"/>
      <c r="Q42" s="351"/>
      <c r="R42" s="352"/>
      <c r="S42" s="352"/>
      <c r="T42" s="352"/>
      <c r="U42" s="352"/>
      <c r="V42" s="352"/>
      <c r="W42" s="352"/>
      <c r="X42" s="352"/>
      <c r="Y42" s="352"/>
      <c r="Z42" s="353"/>
      <c r="AB42" s="354" t="n">
        <f aca="true">IF(AND($D42="Serviço",AB$12&lt;&gt;0,$H42&gt;0,OR(AUTOEVENTO&lt;&gt;"manual",$M42&lt;&gt;$A$15)),
        IF(Import.TipoArredondamento&lt;&gt;"TransfereGOV",
              ROUND(OFFSET($P42,0,AB$13),15-13*ORÇAMENTO!$AF$7)/$H42*OFFSET(ORÇAMENTO!$X$15,ROW(AB42)-ROW(AB$15),0),
              ROUND(ROUND(OFFSET($P42,0,AB$13),15-13*ORÇAMENTO!$AF$7)*OFFSET(ORÇAMENTO!$W$15,ROW(AB42)-ROW(AB$15),0),15-13*ORÇAMENTO!$AF$11)),
         0)</f>
        <v>0</v>
      </c>
      <c r="AC42" s="354" t="n">
        <f aca="true">IF(AND($D42="Serviço",AC$12&lt;&gt;0,$H42&gt;0,OR(AUTOEVENTO&lt;&gt;"manual",$M42&lt;&gt;$A$15)),
        IF(Import.TipoArredondamento&lt;&gt;"TransfereGOV",
              ROUND(OFFSET($P42,0,AC$13),15-13*ORÇAMENTO!$AF$7)/$H42*OFFSET(ORÇAMENTO!$X$15,ROW(AC42)-ROW(AC$15),0),
              ROUND(ROUND(OFFSET($P42,0,AC$13),15-13*ORÇAMENTO!$AF$7)*OFFSET(ORÇAMENTO!$W$15,ROW(AC42)-ROW(AC$15),0),15-13*ORÇAMENTO!$AF$11)),
         0)</f>
        <v>0</v>
      </c>
      <c r="AD42" s="354" t="n">
        <f aca="true">IF(AND($D42="Serviço",AD$12&lt;&gt;0,$H42&gt;0,OR(AUTOEVENTO&lt;&gt;"manual",$M42&lt;&gt;$A$15)),
        IF(Import.TipoArredondamento&lt;&gt;"TransfereGOV",
              ROUND(OFFSET($P42,0,AD$13),15-13*ORÇAMENTO!$AF$7)/$H42*OFFSET(ORÇAMENTO!$X$15,ROW(AD42)-ROW(AD$15),0),
              ROUND(ROUND(OFFSET($P42,0,AD$13),15-13*ORÇAMENTO!$AF$7)*OFFSET(ORÇAMENTO!$W$15,ROW(AD42)-ROW(AD$15),0),15-13*ORÇAMENTO!$AF$11)),
         0)</f>
        <v>0</v>
      </c>
      <c r="AE42" s="354" t="n">
        <f aca="true">IF(AND($D42="Serviço",AE$12&lt;&gt;0,$H42&gt;0,OR(AUTOEVENTO&lt;&gt;"manual",$M42&lt;&gt;$A$15)),
        IF(Import.TipoArredondamento&lt;&gt;"TransfereGOV",
              ROUND(OFFSET($P42,0,AE$13),15-13*ORÇAMENTO!$AF$7)/$H42*OFFSET(ORÇAMENTO!$X$15,ROW(AE42)-ROW(AE$15),0),
              ROUND(ROUND(OFFSET($P42,0,AE$13),15-13*ORÇAMENTO!$AF$7)*OFFSET(ORÇAMENTO!$W$15,ROW(AE42)-ROW(AE$15),0),15-13*ORÇAMENTO!$AF$11)),
         0)</f>
        <v>0</v>
      </c>
      <c r="AF42" s="354" t="n">
        <f aca="true">IF(AND($D42="Serviço",AF$12&lt;&gt;0,$H42&gt;0,OR(AUTOEVENTO&lt;&gt;"manual",$M42&lt;&gt;$A$15)),
        IF(Import.TipoArredondamento&lt;&gt;"TransfereGOV",
              ROUND(OFFSET($P42,0,AF$13),15-13*ORÇAMENTO!$AF$7)/$H42*OFFSET(ORÇAMENTO!$X$15,ROW(AF42)-ROW(AF$15),0),
              ROUND(ROUND(OFFSET($P42,0,AF$13),15-13*ORÇAMENTO!$AF$7)*OFFSET(ORÇAMENTO!$W$15,ROW(AF42)-ROW(AF$15),0),15-13*ORÇAMENTO!$AF$11)),
         0)</f>
        <v>0</v>
      </c>
      <c r="AG42" s="354" t="n">
        <f aca="true">IF(AND($D42="Serviço",AG$12&lt;&gt;0,$H42&gt;0,OR(AUTOEVENTO&lt;&gt;"manual",$M42&lt;&gt;$A$15)),
        IF(Import.TipoArredondamento&lt;&gt;"TransfereGOV",
              ROUND(OFFSET($P42,0,AG$13),15-13*ORÇAMENTO!$AF$7)/$H42*OFFSET(ORÇAMENTO!$X$15,ROW(AG42)-ROW(AG$15),0),
              ROUND(ROUND(OFFSET($P42,0,AG$13),15-13*ORÇAMENTO!$AF$7)*OFFSET(ORÇAMENTO!$W$15,ROW(AG42)-ROW(AG$15),0),15-13*ORÇAMENTO!$AF$11)),
         0)</f>
        <v>0</v>
      </c>
      <c r="AH42" s="354" t="n">
        <f aca="true">IF(AND($D42="Serviço",AH$12&lt;&gt;0,$H42&gt;0,OR(AUTOEVENTO&lt;&gt;"manual",$M42&lt;&gt;$A$15)),
        IF(Import.TipoArredondamento&lt;&gt;"TransfereGOV",
              ROUND(OFFSET($P42,0,AH$13),15-13*ORÇAMENTO!$AF$7)/$H42*OFFSET(ORÇAMENTO!$X$15,ROW(AH42)-ROW(AH$15),0),
              ROUND(ROUND(OFFSET($P42,0,AH$13),15-13*ORÇAMENTO!$AF$7)*OFFSET(ORÇAMENTO!$W$15,ROW(AH42)-ROW(AH$15),0),15-13*ORÇAMENTO!$AF$11)),
         0)</f>
        <v>0</v>
      </c>
      <c r="AI42" s="354" t="n">
        <f aca="true">IF(AND($D42="Serviço",AI$12&lt;&gt;0,$H42&gt;0,OR(AUTOEVENTO&lt;&gt;"manual",$M42&lt;&gt;$A$15)),
        IF(Import.TipoArredondamento&lt;&gt;"TransfereGOV",
              ROUND(OFFSET($P42,0,AI$13),15-13*ORÇAMENTO!$AF$7)/$H42*OFFSET(ORÇAMENTO!$X$15,ROW(AI42)-ROW(AI$15),0),
              ROUND(ROUND(OFFSET($P42,0,AI$13),15-13*ORÇAMENTO!$AF$7)*OFFSET(ORÇAMENTO!$W$15,ROW(AI42)-ROW(AI$15),0),15-13*ORÇAMENTO!$AF$11)),
         0)</f>
        <v>0</v>
      </c>
      <c r="AJ42" s="354" t="n">
        <f aca="true">IF(AND($D42="Serviço",AJ$12&lt;&gt;0,$H42&gt;0,OR(AUTOEVENTO&lt;&gt;"manual",$M42&lt;&gt;$A$15)),
        IF(Import.TipoArredondamento&lt;&gt;"TransfereGOV",
              ROUND(OFFSET($P42,0,AJ$13),15-13*ORÇAMENTO!$AF$7)/$H42*OFFSET(ORÇAMENTO!$X$15,ROW(AJ42)-ROW(AJ$15),0),
              ROUND(ROUND(OFFSET($P42,0,AJ$13),15-13*ORÇAMENTO!$AF$7)*OFFSET(ORÇAMENTO!$W$15,ROW(AJ42)-ROW(AJ$15),0),15-13*ORÇAMENTO!$AF$11)),
         0)</f>
        <v>0</v>
      </c>
      <c r="AK42" s="354" t="n">
        <f aca="true">IF(AND($D42="Serviço",AK$12&lt;&gt;0,$H42&gt;0,OR(AUTOEVENTO&lt;&gt;"manual",$M42&lt;&gt;$A$15)),
        IF(Import.TipoArredondamento&lt;&gt;"TransfereGOV",
              ROUND(OFFSET($P42,0,AK$13),15-13*ORÇAMENTO!$AF$7)/$H42*OFFSET(ORÇAMENTO!$X$15,ROW(AK42)-ROW(AK$15),0),
              ROUND(ROUND(OFFSET($P42,0,AK$13),15-13*ORÇAMENTO!$AF$7)*OFFSET(ORÇAMENTO!$W$15,ROW(AK42)-ROW(AK$15),0),15-13*ORÇAMENTO!$AF$11)),
         0)</f>
        <v>0</v>
      </c>
      <c r="AM42" s="355" t="n">
        <f aca="true">IF(OR($D42&lt;&gt;"Serviço",AND(AUTOEVENTO="Manual",$M42=$A$15)),0,
         IF(OFFSET(CRONOPLE!$F$15,$M42-$A$15,AM$13)=0,10^12,OFFSET(CRONOPLE!$F$15,$M42-$A$15,AM$13)))</f>
        <v>0</v>
      </c>
      <c r="AN42" s="355" t="n">
        <f aca="true">IF(OR($D42&lt;&gt;"Serviço",AND(AUTOEVENTO="Manual",$M42=$A$15)),0,
         IF(OFFSET(CRONOPLE!$F$15,$M42-$A$15,AN$13)=0,10^12,OFFSET(CRONOPLE!$F$15,$M42-$A$15,AN$13)))</f>
        <v>0</v>
      </c>
      <c r="AO42" s="355" t="n">
        <f aca="true">IF(OR($D42&lt;&gt;"Serviço",AND(AUTOEVENTO="Manual",$M42=$A$15)),0,
         IF(OFFSET(CRONOPLE!$F$15,$M42-$A$15,AO$13)=0,10^12,OFFSET(CRONOPLE!$F$15,$M42-$A$15,AO$13)))</f>
        <v>0</v>
      </c>
      <c r="AP42" s="355" t="n">
        <f aca="true">IF(OR($D42&lt;&gt;"Serviço",AND(AUTOEVENTO="Manual",$M42=$A$15)),0,
         IF(OFFSET(CRONOPLE!$F$15,$M42-$A$15,AP$13)=0,10^12,OFFSET(CRONOPLE!$F$15,$M42-$A$15,AP$13)))</f>
        <v>0</v>
      </c>
      <c r="AQ42" s="355" t="n">
        <f aca="true">IF(OR($D42&lt;&gt;"Serviço",AND(AUTOEVENTO="Manual",$M42=$A$15)),0,
         IF(OFFSET(CRONOPLE!$F$15,$M42-$A$15,AQ$13)=0,10^12,OFFSET(CRONOPLE!$F$15,$M42-$A$15,AQ$13)))</f>
        <v>0</v>
      </c>
      <c r="AR42" s="355" t="n">
        <f aca="true">IF(OR($D42&lt;&gt;"Serviço",AND(AUTOEVENTO="Manual",$M42=$A$15)),0,
         IF(OFFSET(CRONOPLE!$F$15,$M42-$A$15,AR$13)=0,10^12,OFFSET(CRONOPLE!$F$15,$M42-$A$15,AR$13)))</f>
        <v>0</v>
      </c>
      <c r="AS42" s="355" t="n">
        <f aca="true">IF(OR($D42&lt;&gt;"Serviço",AND(AUTOEVENTO="Manual",$M42=$A$15)),0,
         IF(OFFSET(CRONOPLE!$F$15,$M42-$A$15,AS$13)=0,10^12,OFFSET(CRONOPLE!$F$15,$M42-$A$15,AS$13)))</f>
        <v>0</v>
      </c>
      <c r="AT42" s="355" t="n">
        <f aca="true">IF(OR($D42&lt;&gt;"Serviço",AND(AUTOEVENTO="Manual",$M42=$A$15)),0,
         IF(OFFSET(CRONOPLE!$F$15,$M42-$A$15,AT$13)=0,10^12,OFFSET(CRONOPLE!$F$15,$M42-$A$15,AT$13)))</f>
        <v>0</v>
      </c>
      <c r="AU42" s="355" t="n">
        <f aca="true">IF(OR($D42&lt;&gt;"Serviço",AND(AUTOEVENTO="Manual",$M42=$A$15)),0,
         IF(OFFSET(CRONOPLE!$F$15,$M42-$A$15,AU$13)=0,10^12,OFFSET(CRONOPLE!$F$15,$M42-$A$15,AU$13)))</f>
        <v>0</v>
      </c>
      <c r="AV42" s="355" t="n">
        <f aca="true">IF(OR($D42&lt;&gt;"Serviço",AND(AUTOEVENTO="Manual",$M42=$A$15)),0,
         IF(OFFSET(CRONOPLE!$F$15,$M42-$A$15,AV$13)=0,10^12,OFFSET(CRONOPLE!$F$15,$M42-$A$15,AV$13)))</f>
        <v>0</v>
      </c>
      <c r="AX42" s="356" t="n">
        <f aca="true" t="array" ref="AX42:AX42">IF(OR($D42&lt;&gt;"Serviço",AND(AUTOEVENTO="Manual",$M42=$A$15),$M42&gt;(ROW(PLE.lastrow)-ROW(PLE.firstrow))),0,
           IF(OFFSET(PLE!$G$15,$M42-$A$15,AX$13)="",10^12,OFFSET(PLE!$G$15,$M42-$A$15,AX$13)))</f>
        <v>0</v>
      </c>
      <c r="AY42" s="356" t="n">
        <f aca="true" t="array" ref="AY42:AY42">IF(OR($D42&lt;&gt;"Serviço",AND(AUTOEVENTO="Manual",$M42=$A$15),$M42&gt;(ROW(PLE.lastrow)-ROW(PLE.firstrow))),0,
           IF(OFFSET(PLE!$G$15,$M42-$A$15,AY$13)="",10^12,OFFSET(PLE!$G$15,$M42-$A$15,AY$13)))</f>
        <v>0</v>
      </c>
      <c r="AZ42" s="356" t="n">
        <f aca="true" t="array" ref="AZ42:AZ42">IF(OR($D42&lt;&gt;"Serviço",AND(AUTOEVENTO="Manual",$M42=$A$15),$M42&gt;(ROW(PLE.lastrow)-ROW(PLE.firstrow))),0,
           IF(OFFSET(PLE!$G$15,$M42-$A$15,AZ$13)="",10^12,OFFSET(PLE!$G$15,$M42-$A$15,AZ$13)))</f>
        <v>0</v>
      </c>
      <c r="BA42" s="356" t="n">
        <f aca="true" t="array" ref="BA42:BA42">IF(OR($D42&lt;&gt;"Serviço",AND(AUTOEVENTO="Manual",$M42=$A$15),$M42&gt;(ROW(PLE.lastrow)-ROW(PLE.firstrow))),0,
           IF(OFFSET(PLE!$G$15,$M42-$A$15,BA$13)="",10^12,OFFSET(PLE!$G$15,$M42-$A$15,BA$13)))</f>
        <v>0</v>
      </c>
      <c r="BB42" s="356" t="n">
        <f aca="true" t="array" ref="BB42:BB42">IF(OR($D42&lt;&gt;"Serviço",AND(AUTOEVENTO="Manual",$M42=$A$15),$M42&gt;(ROW(PLE.lastrow)-ROW(PLE.firstrow))),0,
           IF(OFFSET(PLE!$G$15,$M42-$A$15,BB$13)="",10^12,OFFSET(PLE!$G$15,$M42-$A$15,BB$13)))</f>
        <v>0</v>
      </c>
      <c r="BC42" s="356" t="n">
        <f aca="true" t="array" ref="BC42:BC42">IF(OR($D42&lt;&gt;"Serviço",AND(AUTOEVENTO="Manual",$M42=$A$15),$M42&gt;(ROW(PLE.lastrow)-ROW(PLE.firstrow))),0,
           IF(OFFSET(PLE!$G$15,$M42-$A$15,BC$13)="",10^12,OFFSET(PLE!$G$15,$M42-$A$15,BC$13)))</f>
        <v>0</v>
      </c>
      <c r="BD42" s="356" t="n">
        <f aca="true" t="array" ref="BD42:BD42">IF(OR($D42&lt;&gt;"Serviço",AND(AUTOEVENTO="Manual",$M42=$A$15),$M42&gt;(ROW(PLE.lastrow)-ROW(PLE.firstrow))),0,
           IF(OFFSET(PLE!$G$15,$M42-$A$15,BD$13)="",10^12,OFFSET(PLE!$G$15,$M42-$A$15,BD$13)))</f>
        <v>0</v>
      </c>
      <c r="BE42" s="356" t="n">
        <f aca="true" t="array" ref="BE42:BE42">IF(OR($D42&lt;&gt;"Serviço",AND(AUTOEVENTO="Manual",$M42=$A$15),$M42&gt;(ROW(PLE.lastrow)-ROW(PLE.firstrow))),0,
           IF(OFFSET(PLE!$G$15,$M42-$A$15,BE$13)="",10^12,OFFSET(PLE!$G$15,$M42-$A$15,BE$13)))</f>
        <v>0</v>
      </c>
      <c r="BF42" s="356" t="n">
        <f aca="true" t="array" ref="BF42:BF42">IF(OR($D42&lt;&gt;"Serviço",AND(AUTOEVENTO="Manual",$M42=$A$15),$M42&gt;(ROW(PLE.lastrow)-ROW(PLE.firstrow))),0,
           IF(OFFSET(PLE!$G$15,$M42-$A$15,BF$13)="",10^12,OFFSET(PLE!$G$15,$M42-$A$15,BF$13)))</f>
        <v>0</v>
      </c>
      <c r="BG42" s="356" t="n">
        <f aca="true" t="array" ref="BG42:BG42">IF(OR($D42&lt;&gt;"Serviço",AND(AUTOEVENTO="Manual",$M42=$A$15),$M42&gt;(ROW(PLE.lastrow)-ROW(PLE.firstrow))),0,
           IF(OFFSET(PLE!$G$15,$M42-$A$15,BG$13)="",10^12,OFFSET(PLE!$G$15,$M42-$A$15,BG$13)))</f>
        <v>0</v>
      </c>
    </row>
    <row r="43" customFormat="false" ht="12.75" hidden="false" customHeight="false" outlineLevel="0" collapsed="false">
      <c r="A43" s="48" t="str">
        <f aca="true">IFERROR(IF(AUTOEVENTO="Manual",IF(K43&lt;&gt;"",MIN(VALUE(LEFT(K43,FIND(".",K43)-1)),COUNTA(EVENTOS.Lista)),0),IF(OR($B43&gt;AUTOEVENTO,$B43="S",$B43=0),SUBSTITUTE(OFFSET($A43,-1,0),IF($D43="Serviço",".",""),""),$L43&amp;".")),0)</f>
        <v>27</v>
      </c>
      <c r="B43" s="48" t="str">
        <f aca="true">OFFSET(ORÇAMENTO!C$15,$L43,0)</f>
        <v>S</v>
      </c>
      <c r="C43" s="48" t="str">
        <f aca="true">OFFSET(ORÇAMENTO!L$15,$L43,0)</f>
        <v/>
      </c>
      <c r="D43" s="206" t="str">
        <f aca="true">OFFSET(ORÇAMENTO!N$15,$L43,0)</f>
        <v>Serviço</v>
      </c>
      <c r="E43" s="207" t="str">
        <f aca="true">OFFSET(ORÇAMENTO!O$15,$L43,0)</f>
        <v>-</v>
      </c>
      <c r="F43" s="343" t="str">
        <f aca="true">OFFSET(ORÇAMENTO!R$15,$L43,0)</f>
        <v>(Código não identificado nas referências)</v>
      </c>
      <c r="G43" s="344" t="str">
        <f aca="true">IF($D43&lt;&gt;"Serviço","",OFFSET(ORÇAMENTO!S$15,$L43,0))</f>
        <v>-</v>
      </c>
      <c r="H43" s="212" t="n">
        <f aca="true" t="array" ref="H43:H43">IF($D43&lt;&gt;"Serviço",0,IF(ACOMPANHAMENTO="BM",ROUND(OFFSET(ORÇAMENTO!AJ$15,$L43,0),15-13*ORÇAMENTO!$AF$7),IF(IFERROR(CÁLCULO.FrentesPreenchidas,0)=0,0,SUM(ROUND(OFFSET($P43,0,1,1,CÁLCULO.FrentesPreenchidas),15-13*ORÇAMENTO!$AF$7)))))</f>
        <v>20</v>
      </c>
      <c r="I43" s="345" t="s">
        <v>906</v>
      </c>
      <c r="J43" s="346" t="str">
        <f aca="false" t="array" ref="J43:J43">IF(OR(B43&lt;&gt;"S",CÁLCULO.FrentesPreenchidas=0),"",IF(AND(ACOMPANHAMENTO="PLE",AUTOEVENTO="Manual",OR(H43&gt;0,ORÇAMENTO!AC43="QUANT."),OR(K43="",M43=0,N43="")),"►E",IF(AND(ACOMPANHAMENTO="PLE",ORÇAMENTO!AC43="QUANT."),"►Q",IF(AND(ACOMPANHAMENTO="PLE",H43&lt;&gt;SUMPRODUCT(($Q$1:$AA$1=1)*ROUND(Q43:AA43,15))),"►S",IF(AND(COUNTIF($P$11:$AA$11,"▼")=0,H43&gt;0,I43=""),"◄M","")))))</f>
        <v/>
      </c>
      <c r="K43" s="347"/>
      <c r="L43" s="348" t="n">
        <f aca="true">OFFSET(L43,-1,0)+1</f>
        <v>28</v>
      </c>
      <c r="M43" s="349" t="n">
        <f aca="true">IF($D43&lt;&gt;"Serviço","",
          IF(AUTOEVENTO="manual",$A43,
                IF(ISERROR(MATCH($A43,$A$15:OFFSET($A43,-1,0),0)),MAX($M$15:OFFSET(M43,-1,0))+1,
                      INDEX($M$15:OFFSET(M43,-1,0),MATCH($A43,$A$15:OFFSET($A43,-1,0),0)))))</f>
        <v>8</v>
      </c>
      <c r="N43" s="350" t="str">
        <f aca="true">IF($D43&lt;&gt;"Serviço","",
         IF(AUTOEVENTO="Manual",
                IF($A43=0,"&lt;-- defina o número do agrupador",
                       OFFSET(EVENTOS!$D$15,$A43-$A$15,0)),
                OFFSET($F$15,$A43,0)))</f>
        <v>EQUIPAMENTO</v>
      </c>
      <c r="O43" s="351"/>
      <c r="Q43" s="351"/>
      <c r="R43" s="352"/>
      <c r="S43" s="352"/>
      <c r="T43" s="352"/>
      <c r="U43" s="352"/>
      <c r="V43" s="352"/>
      <c r="W43" s="352"/>
      <c r="X43" s="352"/>
      <c r="Y43" s="352"/>
      <c r="Z43" s="353"/>
      <c r="AB43" s="354" t="n">
        <f aca="true">IF(AND($D43="Serviço",AB$12&lt;&gt;0,$H43&gt;0,OR(AUTOEVENTO&lt;&gt;"manual",$M43&lt;&gt;$A$15)),
        IF(Import.TipoArredondamento&lt;&gt;"TransfereGOV",
              ROUND(OFFSET($P43,0,AB$13),15-13*ORÇAMENTO!$AF$7)/$H43*OFFSET(ORÇAMENTO!$X$15,ROW(AB43)-ROW(AB$15),0),
              ROUND(ROUND(OFFSET($P43,0,AB$13),15-13*ORÇAMENTO!$AF$7)*OFFSET(ORÇAMENTO!$W$15,ROW(AB43)-ROW(AB$15),0),15-13*ORÇAMENTO!$AF$11)),
         0)</f>
        <v>0</v>
      </c>
      <c r="AC43" s="354" t="n">
        <f aca="true">IF(AND($D43="Serviço",AC$12&lt;&gt;0,$H43&gt;0,OR(AUTOEVENTO&lt;&gt;"manual",$M43&lt;&gt;$A$15)),
        IF(Import.TipoArredondamento&lt;&gt;"TransfereGOV",
              ROUND(OFFSET($P43,0,AC$13),15-13*ORÇAMENTO!$AF$7)/$H43*OFFSET(ORÇAMENTO!$X$15,ROW(AC43)-ROW(AC$15),0),
              ROUND(ROUND(OFFSET($P43,0,AC$13),15-13*ORÇAMENTO!$AF$7)*OFFSET(ORÇAMENTO!$W$15,ROW(AC43)-ROW(AC$15),0),15-13*ORÇAMENTO!$AF$11)),
         0)</f>
        <v>0</v>
      </c>
      <c r="AD43" s="354" t="n">
        <f aca="true">IF(AND($D43="Serviço",AD$12&lt;&gt;0,$H43&gt;0,OR(AUTOEVENTO&lt;&gt;"manual",$M43&lt;&gt;$A$15)),
        IF(Import.TipoArredondamento&lt;&gt;"TransfereGOV",
              ROUND(OFFSET($P43,0,AD$13),15-13*ORÇAMENTO!$AF$7)/$H43*OFFSET(ORÇAMENTO!$X$15,ROW(AD43)-ROW(AD$15),0),
              ROUND(ROUND(OFFSET($P43,0,AD$13),15-13*ORÇAMENTO!$AF$7)*OFFSET(ORÇAMENTO!$W$15,ROW(AD43)-ROW(AD$15),0),15-13*ORÇAMENTO!$AF$11)),
         0)</f>
        <v>0</v>
      </c>
      <c r="AE43" s="354" t="n">
        <f aca="true">IF(AND($D43="Serviço",AE$12&lt;&gt;0,$H43&gt;0,OR(AUTOEVENTO&lt;&gt;"manual",$M43&lt;&gt;$A$15)),
        IF(Import.TipoArredondamento&lt;&gt;"TransfereGOV",
              ROUND(OFFSET($P43,0,AE$13),15-13*ORÇAMENTO!$AF$7)/$H43*OFFSET(ORÇAMENTO!$X$15,ROW(AE43)-ROW(AE$15),0),
              ROUND(ROUND(OFFSET($P43,0,AE$13),15-13*ORÇAMENTO!$AF$7)*OFFSET(ORÇAMENTO!$W$15,ROW(AE43)-ROW(AE$15),0),15-13*ORÇAMENTO!$AF$11)),
         0)</f>
        <v>0</v>
      </c>
      <c r="AF43" s="354" t="n">
        <f aca="true">IF(AND($D43="Serviço",AF$12&lt;&gt;0,$H43&gt;0,OR(AUTOEVENTO&lt;&gt;"manual",$M43&lt;&gt;$A$15)),
        IF(Import.TipoArredondamento&lt;&gt;"TransfereGOV",
              ROUND(OFFSET($P43,0,AF$13),15-13*ORÇAMENTO!$AF$7)/$H43*OFFSET(ORÇAMENTO!$X$15,ROW(AF43)-ROW(AF$15),0),
              ROUND(ROUND(OFFSET($P43,0,AF$13),15-13*ORÇAMENTO!$AF$7)*OFFSET(ORÇAMENTO!$W$15,ROW(AF43)-ROW(AF$15),0),15-13*ORÇAMENTO!$AF$11)),
         0)</f>
        <v>0</v>
      </c>
      <c r="AG43" s="354" t="n">
        <f aca="true">IF(AND($D43="Serviço",AG$12&lt;&gt;0,$H43&gt;0,OR(AUTOEVENTO&lt;&gt;"manual",$M43&lt;&gt;$A$15)),
        IF(Import.TipoArredondamento&lt;&gt;"TransfereGOV",
              ROUND(OFFSET($P43,0,AG$13),15-13*ORÇAMENTO!$AF$7)/$H43*OFFSET(ORÇAMENTO!$X$15,ROW(AG43)-ROW(AG$15),0),
              ROUND(ROUND(OFFSET($P43,0,AG$13),15-13*ORÇAMENTO!$AF$7)*OFFSET(ORÇAMENTO!$W$15,ROW(AG43)-ROW(AG$15),0),15-13*ORÇAMENTO!$AF$11)),
         0)</f>
        <v>0</v>
      </c>
      <c r="AH43" s="354" t="n">
        <f aca="true">IF(AND($D43="Serviço",AH$12&lt;&gt;0,$H43&gt;0,OR(AUTOEVENTO&lt;&gt;"manual",$M43&lt;&gt;$A$15)),
        IF(Import.TipoArredondamento&lt;&gt;"TransfereGOV",
              ROUND(OFFSET($P43,0,AH$13),15-13*ORÇAMENTO!$AF$7)/$H43*OFFSET(ORÇAMENTO!$X$15,ROW(AH43)-ROW(AH$15),0),
              ROUND(ROUND(OFFSET($P43,0,AH$13),15-13*ORÇAMENTO!$AF$7)*OFFSET(ORÇAMENTO!$W$15,ROW(AH43)-ROW(AH$15),0),15-13*ORÇAMENTO!$AF$11)),
         0)</f>
        <v>0</v>
      </c>
      <c r="AI43" s="354" t="n">
        <f aca="true">IF(AND($D43="Serviço",AI$12&lt;&gt;0,$H43&gt;0,OR(AUTOEVENTO&lt;&gt;"manual",$M43&lt;&gt;$A$15)),
        IF(Import.TipoArredondamento&lt;&gt;"TransfereGOV",
              ROUND(OFFSET($P43,0,AI$13),15-13*ORÇAMENTO!$AF$7)/$H43*OFFSET(ORÇAMENTO!$X$15,ROW(AI43)-ROW(AI$15),0),
              ROUND(ROUND(OFFSET($P43,0,AI$13),15-13*ORÇAMENTO!$AF$7)*OFFSET(ORÇAMENTO!$W$15,ROW(AI43)-ROW(AI$15),0),15-13*ORÇAMENTO!$AF$11)),
         0)</f>
        <v>0</v>
      </c>
      <c r="AJ43" s="354" t="n">
        <f aca="true">IF(AND($D43="Serviço",AJ$12&lt;&gt;0,$H43&gt;0,OR(AUTOEVENTO&lt;&gt;"manual",$M43&lt;&gt;$A$15)),
        IF(Import.TipoArredondamento&lt;&gt;"TransfereGOV",
              ROUND(OFFSET($P43,0,AJ$13),15-13*ORÇAMENTO!$AF$7)/$H43*OFFSET(ORÇAMENTO!$X$15,ROW(AJ43)-ROW(AJ$15),0),
              ROUND(ROUND(OFFSET($P43,0,AJ$13),15-13*ORÇAMENTO!$AF$7)*OFFSET(ORÇAMENTO!$W$15,ROW(AJ43)-ROW(AJ$15),0),15-13*ORÇAMENTO!$AF$11)),
         0)</f>
        <v>0</v>
      </c>
      <c r="AK43" s="354" t="n">
        <f aca="true">IF(AND($D43="Serviço",AK$12&lt;&gt;0,$H43&gt;0,OR(AUTOEVENTO&lt;&gt;"manual",$M43&lt;&gt;$A$15)),
        IF(Import.TipoArredondamento&lt;&gt;"TransfereGOV",
              ROUND(OFFSET($P43,0,AK$13),15-13*ORÇAMENTO!$AF$7)/$H43*OFFSET(ORÇAMENTO!$X$15,ROW(AK43)-ROW(AK$15),0),
              ROUND(ROUND(OFFSET($P43,0,AK$13),15-13*ORÇAMENTO!$AF$7)*OFFSET(ORÇAMENTO!$W$15,ROW(AK43)-ROW(AK$15),0),15-13*ORÇAMENTO!$AF$11)),
         0)</f>
        <v>0</v>
      </c>
      <c r="AM43" s="355" t="n">
        <f aca="true">IF(OR($D43&lt;&gt;"Serviço",AND(AUTOEVENTO="Manual",$M43=$A$15)),0,
         IF(OFFSET(CRONOPLE!$F$15,$M43-$A$15,AM$13)=0,10^12,OFFSET(CRONOPLE!$F$15,$M43-$A$15,AM$13)))</f>
        <v>1000000000000</v>
      </c>
      <c r="AN43" s="355" t="n">
        <f aca="true">IF(OR($D43&lt;&gt;"Serviço",AND(AUTOEVENTO="Manual",$M43=$A$15)),0,
         IF(OFFSET(CRONOPLE!$F$15,$M43-$A$15,AN$13)=0,10^12,OFFSET(CRONOPLE!$F$15,$M43-$A$15,AN$13)))</f>
        <v>1000000000000</v>
      </c>
      <c r="AO43" s="355" t="n">
        <f aca="true">IF(OR($D43&lt;&gt;"Serviço",AND(AUTOEVENTO="Manual",$M43=$A$15)),0,
         IF(OFFSET(CRONOPLE!$F$15,$M43-$A$15,AO$13)=0,10^12,OFFSET(CRONOPLE!$F$15,$M43-$A$15,AO$13)))</f>
        <v>1000000000000</v>
      </c>
      <c r="AP43" s="355" t="n">
        <f aca="true">IF(OR($D43&lt;&gt;"Serviço",AND(AUTOEVENTO="Manual",$M43=$A$15)),0,
         IF(OFFSET(CRONOPLE!$F$15,$M43-$A$15,AP$13)=0,10^12,OFFSET(CRONOPLE!$F$15,$M43-$A$15,AP$13)))</f>
        <v>1000000000000</v>
      </c>
      <c r="AQ43" s="355" t="n">
        <f aca="true">IF(OR($D43&lt;&gt;"Serviço",AND(AUTOEVENTO="Manual",$M43=$A$15)),0,
         IF(OFFSET(CRONOPLE!$F$15,$M43-$A$15,AQ$13)=0,10^12,OFFSET(CRONOPLE!$F$15,$M43-$A$15,AQ$13)))</f>
        <v>1000000000000</v>
      </c>
      <c r="AR43" s="355" t="n">
        <f aca="true">IF(OR($D43&lt;&gt;"Serviço",AND(AUTOEVENTO="Manual",$M43=$A$15)),0,
         IF(OFFSET(CRONOPLE!$F$15,$M43-$A$15,AR$13)=0,10^12,OFFSET(CRONOPLE!$F$15,$M43-$A$15,AR$13)))</f>
        <v>1000000000000</v>
      </c>
      <c r="AS43" s="355" t="n">
        <f aca="true">IF(OR($D43&lt;&gt;"Serviço",AND(AUTOEVENTO="Manual",$M43=$A$15)),0,
         IF(OFFSET(CRONOPLE!$F$15,$M43-$A$15,AS$13)=0,10^12,OFFSET(CRONOPLE!$F$15,$M43-$A$15,AS$13)))</f>
        <v>1000000000000</v>
      </c>
      <c r="AT43" s="355" t="n">
        <f aca="true">IF(OR($D43&lt;&gt;"Serviço",AND(AUTOEVENTO="Manual",$M43=$A$15)),0,
         IF(OFFSET(CRONOPLE!$F$15,$M43-$A$15,AT$13)=0,10^12,OFFSET(CRONOPLE!$F$15,$M43-$A$15,AT$13)))</f>
        <v>1000000000000</v>
      </c>
      <c r="AU43" s="355" t="n">
        <f aca="true">IF(OR($D43&lt;&gt;"Serviço",AND(AUTOEVENTO="Manual",$M43=$A$15)),0,
         IF(OFFSET(CRONOPLE!$F$15,$M43-$A$15,AU$13)=0,10^12,OFFSET(CRONOPLE!$F$15,$M43-$A$15,AU$13)))</f>
        <v>1000000000000</v>
      </c>
      <c r="AV43" s="355" t="n">
        <f aca="true">IF(OR($D43&lt;&gt;"Serviço",AND(AUTOEVENTO="Manual",$M43=$A$15)),0,
         IF(OFFSET(CRONOPLE!$F$15,$M43-$A$15,AV$13)=0,10^12,OFFSET(CRONOPLE!$F$15,$M43-$A$15,AV$13)))</f>
        <v>1000000000000</v>
      </c>
      <c r="AX43" s="356" t="n">
        <f aca="true" t="array" ref="AX43:AX43">IF(OR($D43&lt;&gt;"Serviço",AND(AUTOEVENTO="Manual",$M43=$A$15),$M43&gt;(ROW(PLE.lastrow)-ROW(PLE.firstrow))),0,
           IF(OFFSET(PLE!$G$15,$M43-$A$15,AX$13)="",10^12,OFFSET(PLE!$G$15,$M43-$A$15,AX$13)))</f>
        <v>1000000000000</v>
      </c>
      <c r="AY43" s="356" t="n">
        <f aca="true" t="array" ref="AY43:AY43">IF(OR($D43&lt;&gt;"Serviço",AND(AUTOEVENTO="Manual",$M43=$A$15),$M43&gt;(ROW(PLE.lastrow)-ROW(PLE.firstrow))),0,
           IF(OFFSET(PLE!$G$15,$M43-$A$15,AY$13)="",10^12,OFFSET(PLE!$G$15,$M43-$A$15,AY$13)))</f>
        <v>1000000000000</v>
      </c>
      <c r="AZ43" s="356" t="n">
        <f aca="true" t="array" ref="AZ43:AZ43">IF(OR($D43&lt;&gt;"Serviço",AND(AUTOEVENTO="Manual",$M43=$A$15),$M43&gt;(ROW(PLE.lastrow)-ROW(PLE.firstrow))),0,
           IF(OFFSET(PLE!$G$15,$M43-$A$15,AZ$13)="",10^12,OFFSET(PLE!$G$15,$M43-$A$15,AZ$13)))</f>
        <v>1000000000000</v>
      </c>
      <c r="BA43" s="356" t="n">
        <f aca="true" t="array" ref="BA43:BA43">IF(OR($D43&lt;&gt;"Serviço",AND(AUTOEVENTO="Manual",$M43=$A$15),$M43&gt;(ROW(PLE.lastrow)-ROW(PLE.firstrow))),0,
           IF(OFFSET(PLE!$G$15,$M43-$A$15,BA$13)="",10^12,OFFSET(PLE!$G$15,$M43-$A$15,BA$13)))</f>
        <v>1000000000000</v>
      </c>
      <c r="BB43" s="356" t="n">
        <f aca="true" t="array" ref="BB43:BB43">IF(OR($D43&lt;&gt;"Serviço",AND(AUTOEVENTO="Manual",$M43=$A$15),$M43&gt;(ROW(PLE.lastrow)-ROW(PLE.firstrow))),0,
           IF(OFFSET(PLE!$G$15,$M43-$A$15,BB$13)="",10^12,OFFSET(PLE!$G$15,$M43-$A$15,BB$13)))</f>
        <v>1000000000000</v>
      </c>
      <c r="BC43" s="356" t="n">
        <f aca="true" t="array" ref="BC43:BC43">IF(OR($D43&lt;&gt;"Serviço",AND(AUTOEVENTO="Manual",$M43=$A$15),$M43&gt;(ROW(PLE.lastrow)-ROW(PLE.firstrow))),0,
           IF(OFFSET(PLE!$G$15,$M43-$A$15,BC$13)="",10^12,OFFSET(PLE!$G$15,$M43-$A$15,BC$13)))</f>
        <v>1000000000000</v>
      </c>
      <c r="BD43" s="356" t="n">
        <f aca="true" t="array" ref="BD43:BD43">IF(OR($D43&lt;&gt;"Serviço",AND(AUTOEVENTO="Manual",$M43=$A$15),$M43&gt;(ROW(PLE.lastrow)-ROW(PLE.firstrow))),0,
           IF(OFFSET(PLE!$G$15,$M43-$A$15,BD$13)="",10^12,OFFSET(PLE!$G$15,$M43-$A$15,BD$13)))</f>
        <v>1000000000000</v>
      </c>
      <c r="BE43" s="356" t="n">
        <f aca="true" t="array" ref="BE43:BE43">IF(OR($D43&lt;&gt;"Serviço",AND(AUTOEVENTO="Manual",$M43=$A$15),$M43&gt;(ROW(PLE.lastrow)-ROW(PLE.firstrow))),0,
           IF(OFFSET(PLE!$G$15,$M43-$A$15,BE$13)="",10^12,OFFSET(PLE!$G$15,$M43-$A$15,BE$13)))</f>
        <v>1000000000000</v>
      </c>
      <c r="BF43" s="356" t="n">
        <f aca="true" t="array" ref="BF43:BF43">IF(OR($D43&lt;&gt;"Serviço",AND(AUTOEVENTO="Manual",$M43=$A$15),$M43&gt;(ROW(PLE.lastrow)-ROW(PLE.firstrow))),0,
           IF(OFFSET(PLE!$G$15,$M43-$A$15,BF$13)="",10^12,OFFSET(PLE!$G$15,$M43-$A$15,BF$13)))</f>
        <v>1000000000000</v>
      </c>
      <c r="BG43" s="356" t="n">
        <f aca="true" t="array" ref="BG43:BG43">IF(OR($D43&lt;&gt;"Serviço",AND(AUTOEVENTO="Manual",$M43=$A$15),$M43&gt;(ROW(PLE.lastrow)-ROW(PLE.firstrow))),0,
           IF(OFFSET(PLE!$G$15,$M43-$A$15,BG$13)="",10^12,OFFSET(PLE!$G$15,$M43-$A$15,BG$13)))</f>
        <v>1000000000000</v>
      </c>
    </row>
    <row r="44" customFormat="false" ht="12.75" hidden="false" customHeight="false" outlineLevel="0" collapsed="false">
      <c r="A44" s="48" t="str">
        <f aca="true">IFERROR(IF(AUTOEVENTO="Manual",IF(K44&lt;&gt;"",MIN(VALUE(LEFT(K44,FIND(".",K44)-1)),COUNTA(EVENTOS.Lista)),0),IF(OR($B44&gt;AUTOEVENTO,$B44="S",$B44=0),SUBSTITUTE(OFFSET($A44,-1,0),IF($D44="Serviço",".",""),""),$L44&amp;".")),0)</f>
        <v>27</v>
      </c>
      <c r="B44" s="48" t="str">
        <f aca="true">OFFSET(ORÇAMENTO!C$15,$L44,0)</f>
        <v>S</v>
      </c>
      <c r="C44" s="48" t="str">
        <f aca="true">OFFSET(ORÇAMENTO!L$15,$L44,0)</f>
        <v/>
      </c>
      <c r="D44" s="206" t="str">
        <f aca="true">OFFSET(ORÇAMENTO!N$15,$L44,0)</f>
        <v>Serviço</v>
      </c>
      <c r="E44" s="207" t="str">
        <f aca="true">OFFSET(ORÇAMENTO!O$15,$L44,0)</f>
        <v>-</v>
      </c>
      <c r="F44" s="343" t="str">
        <f aca="true">OFFSET(ORÇAMENTO!R$15,$L44,0)</f>
        <v>(Código não identificado nas referências)</v>
      </c>
      <c r="G44" s="344" t="str">
        <f aca="true">IF($D44&lt;&gt;"Serviço","",OFFSET(ORÇAMENTO!S$15,$L44,0))</f>
        <v>-</v>
      </c>
      <c r="H44" s="212" t="n">
        <f aca="true" t="array" ref="H44:H44">IF($D44&lt;&gt;"Serviço",0,IF(ACOMPANHAMENTO="BM",ROUND(OFFSET(ORÇAMENTO!AJ$15,$L44,0),15-13*ORÇAMENTO!$AF$7),IF(IFERROR(CÁLCULO.FrentesPreenchidas,0)=0,0,SUM(ROUND(OFFSET($P44,0,1,1,CÁLCULO.FrentesPreenchidas),15-13*ORÇAMENTO!$AF$7)))))</f>
        <v>24</v>
      </c>
      <c r="I44" s="345" t="s">
        <v>907</v>
      </c>
      <c r="J44" s="346" t="str">
        <f aca="false" t="array" ref="J44:J44">IF(OR(B44&lt;&gt;"S",CÁLCULO.FrentesPreenchidas=0),"",IF(AND(ACOMPANHAMENTO="PLE",AUTOEVENTO="Manual",OR(H44&gt;0,ORÇAMENTO!AC44="QUANT."),OR(K44="",M44=0,N44="")),"►E",IF(AND(ACOMPANHAMENTO="PLE",ORÇAMENTO!AC44="QUANT."),"►Q",IF(AND(ACOMPANHAMENTO="PLE",H44&lt;&gt;SUMPRODUCT(($Q$1:$AA$1=1)*ROUND(Q44:AA44,15))),"►S",IF(AND(COUNTIF($P$11:$AA$11,"▼")=0,H44&gt;0,I44=""),"◄M","")))))</f>
        <v/>
      </c>
      <c r="K44" s="347"/>
      <c r="L44" s="348" t="n">
        <f aca="true">OFFSET(L44,-1,0)+1</f>
        <v>29</v>
      </c>
      <c r="M44" s="349" t="n">
        <f aca="true">IF($D44&lt;&gt;"Serviço","",
          IF(AUTOEVENTO="manual",$A44,
                IF(ISERROR(MATCH($A44,$A$15:OFFSET($A44,-1,0),0)),MAX($M$15:OFFSET(M44,-1,0))+1,
                      INDEX($M$15:OFFSET(M44,-1,0),MATCH($A44,$A$15:OFFSET($A44,-1,0),0)))))</f>
        <v>8</v>
      </c>
      <c r="N44" s="350" t="str">
        <f aca="true">IF($D44&lt;&gt;"Serviço","",
         IF(AUTOEVENTO="Manual",
                IF($A44=0,"&lt;-- defina o número do agrupador",
                       OFFSET(EVENTOS!$D$15,$A44-$A$15,0)),
                OFFSET($F$15,$A44,0)))</f>
        <v>EQUIPAMENTO</v>
      </c>
      <c r="O44" s="351"/>
      <c r="Q44" s="351"/>
      <c r="R44" s="352"/>
      <c r="S44" s="352"/>
      <c r="T44" s="352"/>
      <c r="U44" s="352"/>
      <c r="V44" s="352"/>
      <c r="W44" s="352"/>
      <c r="X44" s="352"/>
      <c r="Y44" s="352"/>
      <c r="Z44" s="353"/>
      <c r="AB44" s="354" t="n">
        <f aca="true">IF(AND($D44="Serviço",AB$12&lt;&gt;0,$H44&gt;0,OR(AUTOEVENTO&lt;&gt;"manual",$M44&lt;&gt;$A$15)),
        IF(Import.TipoArredondamento&lt;&gt;"TransfereGOV",
              ROUND(OFFSET($P44,0,AB$13),15-13*ORÇAMENTO!$AF$7)/$H44*OFFSET(ORÇAMENTO!$X$15,ROW(AB44)-ROW(AB$15),0),
              ROUND(ROUND(OFFSET($P44,0,AB$13),15-13*ORÇAMENTO!$AF$7)*OFFSET(ORÇAMENTO!$W$15,ROW(AB44)-ROW(AB$15),0),15-13*ORÇAMENTO!$AF$11)),
         0)</f>
        <v>0</v>
      </c>
      <c r="AC44" s="354" t="n">
        <f aca="true">IF(AND($D44="Serviço",AC$12&lt;&gt;0,$H44&gt;0,OR(AUTOEVENTO&lt;&gt;"manual",$M44&lt;&gt;$A$15)),
        IF(Import.TipoArredondamento&lt;&gt;"TransfereGOV",
              ROUND(OFFSET($P44,0,AC$13),15-13*ORÇAMENTO!$AF$7)/$H44*OFFSET(ORÇAMENTO!$X$15,ROW(AC44)-ROW(AC$15),0),
              ROUND(ROUND(OFFSET($P44,0,AC$13),15-13*ORÇAMENTO!$AF$7)*OFFSET(ORÇAMENTO!$W$15,ROW(AC44)-ROW(AC$15),0),15-13*ORÇAMENTO!$AF$11)),
         0)</f>
        <v>0</v>
      </c>
      <c r="AD44" s="354" t="n">
        <f aca="true">IF(AND($D44="Serviço",AD$12&lt;&gt;0,$H44&gt;0,OR(AUTOEVENTO&lt;&gt;"manual",$M44&lt;&gt;$A$15)),
        IF(Import.TipoArredondamento&lt;&gt;"TransfereGOV",
              ROUND(OFFSET($P44,0,AD$13),15-13*ORÇAMENTO!$AF$7)/$H44*OFFSET(ORÇAMENTO!$X$15,ROW(AD44)-ROW(AD$15),0),
              ROUND(ROUND(OFFSET($P44,0,AD$13),15-13*ORÇAMENTO!$AF$7)*OFFSET(ORÇAMENTO!$W$15,ROW(AD44)-ROW(AD$15),0),15-13*ORÇAMENTO!$AF$11)),
         0)</f>
        <v>0</v>
      </c>
      <c r="AE44" s="354" t="n">
        <f aca="true">IF(AND($D44="Serviço",AE$12&lt;&gt;0,$H44&gt;0,OR(AUTOEVENTO&lt;&gt;"manual",$M44&lt;&gt;$A$15)),
        IF(Import.TipoArredondamento&lt;&gt;"TransfereGOV",
              ROUND(OFFSET($P44,0,AE$13),15-13*ORÇAMENTO!$AF$7)/$H44*OFFSET(ORÇAMENTO!$X$15,ROW(AE44)-ROW(AE$15),0),
              ROUND(ROUND(OFFSET($P44,0,AE$13),15-13*ORÇAMENTO!$AF$7)*OFFSET(ORÇAMENTO!$W$15,ROW(AE44)-ROW(AE$15),0),15-13*ORÇAMENTO!$AF$11)),
         0)</f>
        <v>0</v>
      </c>
      <c r="AF44" s="354" t="n">
        <f aca="true">IF(AND($D44="Serviço",AF$12&lt;&gt;0,$H44&gt;0,OR(AUTOEVENTO&lt;&gt;"manual",$M44&lt;&gt;$A$15)),
        IF(Import.TipoArredondamento&lt;&gt;"TransfereGOV",
              ROUND(OFFSET($P44,0,AF$13),15-13*ORÇAMENTO!$AF$7)/$H44*OFFSET(ORÇAMENTO!$X$15,ROW(AF44)-ROW(AF$15),0),
              ROUND(ROUND(OFFSET($P44,0,AF$13),15-13*ORÇAMENTO!$AF$7)*OFFSET(ORÇAMENTO!$W$15,ROW(AF44)-ROW(AF$15),0),15-13*ORÇAMENTO!$AF$11)),
         0)</f>
        <v>0</v>
      </c>
      <c r="AG44" s="354" t="n">
        <f aca="true">IF(AND($D44="Serviço",AG$12&lt;&gt;0,$H44&gt;0,OR(AUTOEVENTO&lt;&gt;"manual",$M44&lt;&gt;$A$15)),
        IF(Import.TipoArredondamento&lt;&gt;"TransfereGOV",
              ROUND(OFFSET($P44,0,AG$13),15-13*ORÇAMENTO!$AF$7)/$H44*OFFSET(ORÇAMENTO!$X$15,ROW(AG44)-ROW(AG$15),0),
              ROUND(ROUND(OFFSET($P44,0,AG$13),15-13*ORÇAMENTO!$AF$7)*OFFSET(ORÇAMENTO!$W$15,ROW(AG44)-ROW(AG$15),0),15-13*ORÇAMENTO!$AF$11)),
         0)</f>
        <v>0</v>
      </c>
      <c r="AH44" s="354" t="n">
        <f aca="true">IF(AND($D44="Serviço",AH$12&lt;&gt;0,$H44&gt;0,OR(AUTOEVENTO&lt;&gt;"manual",$M44&lt;&gt;$A$15)),
        IF(Import.TipoArredondamento&lt;&gt;"TransfereGOV",
              ROUND(OFFSET($P44,0,AH$13),15-13*ORÇAMENTO!$AF$7)/$H44*OFFSET(ORÇAMENTO!$X$15,ROW(AH44)-ROW(AH$15),0),
              ROUND(ROUND(OFFSET($P44,0,AH$13),15-13*ORÇAMENTO!$AF$7)*OFFSET(ORÇAMENTO!$W$15,ROW(AH44)-ROW(AH$15),0),15-13*ORÇAMENTO!$AF$11)),
         0)</f>
        <v>0</v>
      </c>
      <c r="AI44" s="354" t="n">
        <f aca="true">IF(AND($D44="Serviço",AI$12&lt;&gt;0,$H44&gt;0,OR(AUTOEVENTO&lt;&gt;"manual",$M44&lt;&gt;$A$15)),
        IF(Import.TipoArredondamento&lt;&gt;"TransfereGOV",
              ROUND(OFFSET($P44,0,AI$13),15-13*ORÇAMENTO!$AF$7)/$H44*OFFSET(ORÇAMENTO!$X$15,ROW(AI44)-ROW(AI$15),0),
              ROUND(ROUND(OFFSET($P44,0,AI$13),15-13*ORÇAMENTO!$AF$7)*OFFSET(ORÇAMENTO!$W$15,ROW(AI44)-ROW(AI$15),0),15-13*ORÇAMENTO!$AF$11)),
         0)</f>
        <v>0</v>
      </c>
      <c r="AJ44" s="354" t="n">
        <f aca="true">IF(AND($D44="Serviço",AJ$12&lt;&gt;0,$H44&gt;0,OR(AUTOEVENTO&lt;&gt;"manual",$M44&lt;&gt;$A$15)),
        IF(Import.TipoArredondamento&lt;&gt;"TransfereGOV",
              ROUND(OFFSET($P44,0,AJ$13),15-13*ORÇAMENTO!$AF$7)/$H44*OFFSET(ORÇAMENTO!$X$15,ROW(AJ44)-ROW(AJ$15),0),
              ROUND(ROUND(OFFSET($P44,0,AJ$13),15-13*ORÇAMENTO!$AF$7)*OFFSET(ORÇAMENTO!$W$15,ROW(AJ44)-ROW(AJ$15),0),15-13*ORÇAMENTO!$AF$11)),
         0)</f>
        <v>0</v>
      </c>
      <c r="AK44" s="354" t="n">
        <f aca="true">IF(AND($D44="Serviço",AK$12&lt;&gt;0,$H44&gt;0,OR(AUTOEVENTO&lt;&gt;"manual",$M44&lt;&gt;$A$15)),
        IF(Import.TipoArredondamento&lt;&gt;"TransfereGOV",
              ROUND(OFFSET($P44,0,AK$13),15-13*ORÇAMENTO!$AF$7)/$H44*OFFSET(ORÇAMENTO!$X$15,ROW(AK44)-ROW(AK$15),0),
              ROUND(ROUND(OFFSET($P44,0,AK$13),15-13*ORÇAMENTO!$AF$7)*OFFSET(ORÇAMENTO!$W$15,ROW(AK44)-ROW(AK$15),0),15-13*ORÇAMENTO!$AF$11)),
         0)</f>
        <v>0</v>
      </c>
      <c r="AM44" s="355" t="n">
        <f aca="true">IF(OR($D44&lt;&gt;"Serviço",AND(AUTOEVENTO="Manual",$M44=$A$15)),0,
         IF(OFFSET(CRONOPLE!$F$15,$M44-$A$15,AM$13)=0,10^12,OFFSET(CRONOPLE!$F$15,$M44-$A$15,AM$13)))</f>
        <v>1000000000000</v>
      </c>
      <c r="AN44" s="355" t="n">
        <f aca="true">IF(OR($D44&lt;&gt;"Serviço",AND(AUTOEVENTO="Manual",$M44=$A$15)),0,
         IF(OFFSET(CRONOPLE!$F$15,$M44-$A$15,AN$13)=0,10^12,OFFSET(CRONOPLE!$F$15,$M44-$A$15,AN$13)))</f>
        <v>1000000000000</v>
      </c>
      <c r="AO44" s="355" t="n">
        <f aca="true">IF(OR($D44&lt;&gt;"Serviço",AND(AUTOEVENTO="Manual",$M44=$A$15)),0,
         IF(OFFSET(CRONOPLE!$F$15,$M44-$A$15,AO$13)=0,10^12,OFFSET(CRONOPLE!$F$15,$M44-$A$15,AO$13)))</f>
        <v>1000000000000</v>
      </c>
      <c r="AP44" s="355" t="n">
        <f aca="true">IF(OR($D44&lt;&gt;"Serviço",AND(AUTOEVENTO="Manual",$M44=$A$15)),0,
         IF(OFFSET(CRONOPLE!$F$15,$M44-$A$15,AP$13)=0,10^12,OFFSET(CRONOPLE!$F$15,$M44-$A$15,AP$13)))</f>
        <v>1000000000000</v>
      </c>
      <c r="AQ44" s="355" t="n">
        <f aca="true">IF(OR($D44&lt;&gt;"Serviço",AND(AUTOEVENTO="Manual",$M44=$A$15)),0,
         IF(OFFSET(CRONOPLE!$F$15,$M44-$A$15,AQ$13)=0,10^12,OFFSET(CRONOPLE!$F$15,$M44-$A$15,AQ$13)))</f>
        <v>1000000000000</v>
      </c>
      <c r="AR44" s="355" t="n">
        <f aca="true">IF(OR($D44&lt;&gt;"Serviço",AND(AUTOEVENTO="Manual",$M44=$A$15)),0,
         IF(OFFSET(CRONOPLE!$F$15,$M44-$A$15,AR$13)=0,10^12,OFFSET(CRONOPLE!$F$15,$M44-$A$15,AR$13)))</f>
        <v>1000000000000</v>
      </c>
      <c r="AS44" s="355" t="n">
        <f aca="true">IF(OR($D44&lt;&gt;"Serviço",AND(AUTOEVENTO="Manual",$M44=$A$15)),0,
         IF(OFFSET(CRONOPLE!$F$15,$M44-$A$15,AS$13)=0,10^12,OFFSET(CRONOPLE!$F$15,$M44-$A$15,AS$13)))</f>
        <v>1000000000000</v>
      </c>
      <c r="AT44" s="355" t="n">
        <f aca="true">IF(OR($D44&lt;&gt;"Serviço",AND(AUTOEVENTO="Manual",$M44=$A$15)),0,
         IF(OFFSET(CRONOPLE!$F$15,$M44-$A$15,AT$13)=0,10^12,OFFSET(CRONOPLE!$F$15,$M44-$A$15,AT$13)))</f>
        <v>1000000000000</v>
      </c>
      <c r="AU44" s="355" t="n">
        <f aca="true">IF(OR($D44&lt;&gt;"Serviço",AND(AUTOEVENTO="Manual",$M44=$A$15)),0,
         IF(OFFSET(CRONOPLE!$F$15,$M44-$A$15,AU$13)=0,10^12,OFFSET(CRONOPLE!$F$15,$M44-$A$15,AU$13)))</f>
        <v>1000000000000</v>
      </c>
      <c r="AV44" s="355" t="n">
        <f aca="true">IF(OR($D44&lt;&gt;"Serviço",AND(AUTOEVENTO="Manual",$M44=$A$15)),0,
         IF(OFFSET(CRONOPLE!$F$15,$M44-$A$15,AV$13)=0,10^12,OFFSET(CRONOPLE!$F$15,$M44-$A$15,AV$13)))</f>
        <v>1000000000000</v>
      </c>
      <c r="AX44" s="356" t="n">
        <f aca="true" t="array" ref="AX44:AX44">IF(OR($D44&lt;&gt;"Serviço",AND(AUTOEVENTO="Manual",$M44=$A$15),$M44&gt;(ROW(PLE.lastrow)-ROW(PLE.firstrow))),0,
           IF(OFFSET(PLE!$G$15,$M44-$A$15,AX$13)="",10^12,OFFSET(PLE!$G$15,$M44-$A$15,AX$13)))</f>
        <v>1000000000000</v>
      </c>
      <c r="AY44" s="356" t="n">
        <f aca="true" t="array" ref="AY44:AY44">IF(OR($D44&lt;&gt;"Serviço",AND(AUTOEVENTO="Manual",$M44=$A$15),$M44&gt;(ROW(PLE.lastrow)-ROW(PLE.firstrow))),0,
           IF(OFFSET(PLE!$G$15,$M44-$A$15,AY$13)="",10^12,OFFSET(PLE!$G$15,$M44-$A$15,AY$13)))</f>
        <v>1000000000000</v>
      </c>
      <c r="AZ44" s="356" t="n">
        <f aca="true" t="array" ref="AZ44:AZ44">IF(OR($D44&lt;&gt;"Serviço",AND(AUTOEVENTO="Manual",$M44=$A$15),$M44&gt;(ROW(PLE.lastrow)-ROW(PLE.firstrow))),0,
           IF(OFFSET(PLE!$G$15,$M44-$A$15,AZ$13)="",10^12,OFFSET(PLE!$G$15,$M44-$A$15,AZ$13)))</f>
        <v>1000000000000</v>
      </c>
      <c r="BA44" s="356" t="n">
        <f aca="true" t="array" ref="BA44:BA44">IF(OR($D44&lt;&gt;"Serviço",AND(AUTOEVENTO="Manual",$M44=$A$15),$M44&gt;(ROW(PLE.lastrow)-ROW(PLE.firstrow))),0,
           IF(OFFSET(PLE!$G$15,$M44-$A$15,BA$13)="",10^12,OFFSET(PLE!$G$15,$M44-$A$15,BA$13)))</f>
        <v>1000000000000</v>
      </c>
      <c r="BB44" s="356" t="n">
        <f aca="true" t="array" ref="BB44:BB44">IF(OR($D44&lt;&gt;"Serviço",AND(AUTOEVENTO="Manual",$M44=$A$15),$M44&gt;(ROW(PLE.lastrow)-ROW(PLE.firstrow))),0,
           IF(OFFSET(PLE!$G$15,$M44-$A$15,BB$13)="",10^12,OFFSET(PLE!$G$15,$M44-$A$15,BB$13)))</f>
        <v>1000000000000</v>
      </c>
      <c r="BC44" s="356" t="n">
        <f aca="true" t="array" ref="BC44:BC44">IF(OR($D44&lt;&gt;"Serviço",AND(AUTOEVENTO="Manual",$M44=$A$15),$M44&gt;(ROW(PLE.lastrow)-ROW(PLE.firstrow))),0,
           IF(OFFSET(PLE!$G$15,$M44-$A$15,BC$13)="",10^12,OFFSET(PLE!$G$15,$M44-$A$15,BC$13)))</f>
        <v>1000000000000</v>
      </c>
      <c r="BD44" s="356" t="n">
        <f aca="true" t="array" ref="BD44:BD44">IF(OR($D44&lt;&gt;"Serviço",AND(AUTOEVENTO="Manual",$M44=$A$15),$M44&gt;(ROW(PLE.lastrow)-ROW(PLE.firstrow))),0,
           IF(OFFSET(PLE!$G$15,$M44-$A$15,BD$13)="",10^12,OFFSET(PLE!$G$15,$M44-$A$15,BD$13)))</f>
        <v>1000000000000</v>
      </c>
      <c r="BE44" s="356" t="n">
        <f aca="true" t="array" ref="BE44:BE44">IF(OR($D44&lt;&gt;"Serviço",AND(AUTOEVENTO="Manual",$M44=$A$15),$M44&gt;(ROW(PLE.lastrow)-ROW(PLE.firstrow))),0,
           IF(OFFSET(PLE!$G$15,$M44-$A$15,BE$13)="",10^12,OFFSET(PLE!$G$15,$M44-$A$15,BE$13)))</f>
        <v>1000000000000</v>
      </c>
      <c r="BF44" s="356" t="n">
        <f aca="true" t="array" ref="BF44:BF44">IF(OR($D44&lt;&gt;"Serviço",AND(AUTOEVENTO="Manual",$M44=$A$15),$M44&gt;(ROW(PLE.lastrow)-ROW(PLE.firstrow))),0,
           IF(OFFSET(PLE!$G$15,$M44-$A$15,BF$13)="",10^12,OFFSET(PLE!$G$15,$M44-$A$15,BF$13)))</f>
        <v>1000000000000</v>
      </c>
      <c r="BG44" s="356" t="n">
        <f aca="true" t="array" ref="BG44:BG44">IF(OR($D44&lt;&gt;"Serviço",AND(AUTOEVENTO="Manual",$M44=$A$15),$M44&gt;(ROW(PLE.lastrow)-ROW(PLE.firstrow))),0,
           IF(OFFSET(PLE!$G$15,$M44-$A$15,BG$13)="",10^12,OFFSET(PLE!$G$15,$M44-$A$15,BG$13)))</f>
        <v>1000000000000</v>
      </c>
    </row>
    <row r="45" customFormat="false" ht="12.75" hidden="false" customHeight="false" outlineLevel="0" collapsed="false">
      <c r="A45" s="48" t="str">
        <f aca="true">IFERROR(IF(AUTOEVENTO="Manual",IF(K45&lt;&gt;"",MIN(VALUE(LEFT(K45,FIND(".",K45)-1)),COUNTA(EVENTOS.Lista)),0),IF(OR($B45&gt;AUTOEVENTO,$B45="S",$B45=0),SUBSTITUTE(OFFSET($A45,-1,0),IF($D45="Serviço",".",""),""),$L45&amp;".")),0)</f>
        <v>27</v>
      </c>
      <c r="B45" s="48" t="str">
        <f aca="true">OFFSET(ORÇAMENTO!C$15,$L45,0)</f>
        <v>S</v>
      </c>
      <c r="C45" s="48" t="str">
        <f aca="true">OFFSET(ORÇAMENTO!L$15,$L45,0)</f>
        <v/>
      </c>
      <c r="D45" s="206" t="str">
        <f aca="true">OFFSET(ORÇAMENTO!N$15,$L45,0)</f>
        <v>Serviço</v>
      </c>
      <c r="E45" s="207" t="str">
        <f aca="true">OFFSET(ORÇAMENTO!O$15,$L45,0)</f>
        <v>-</v>
      </c>
      <c r="F45" s="343" t="str">
        <f aca="true">OFFSET(ORÇAMENTO!R$15,$L45,0)</f>
        <v>(Código não identificado nas referências)</v>
      </c>
      <c r="G45" s="344" t="str">
        <f aca="true">IF($D45&lt;&gt;"Serviço","",OFFSET(ORÇAMENTO!S$15,$L45,0))</f>
        <v>-</v>
      </c>
      <c r="H45" s="212" t="n">
        <f aca="true" t="array" ref="H45:H45">IF($D45&lt;&gt;"Serviço",0,IF(ACOMPANHAMENTO="BM",ROUND(OFFSET(ORÇAMENTO!AJ$15,$L45,0),15-13*ORÇAMENTO!$AF$7),IF(IFERROR(CÁLCULO.FrentesPreenchidas,0)=0,0,SUM(ROUND(OFFSET($P45,0,1,1,CÁLCULO.FrentesPreenchidas),15-13*ORÇAMENTO!$AF$7)))))</f>
        <v>261</v>
      </c>
      <c r="I45" s="345" t="s">
        <v>908</v>
      </c>
      <c r="J45" s="346" t="str">
        <f aca="false" t="array" ref="J45:J45">IF(OR(B45&lt;&gt;"S",CÁLCULO.FrentesPreenchidas=0),"",IF(AND(ACOMPANHAMENTO="PLE",AUTOEVENTO="Manual",OR(H45&gt;0,ORÇAMENTO!AC45="QUANT."),OR(K45="",M45=0,N45="")),"►E",IF(AND(ACOMPANHAMENTO="PLE",ORÇAMENTO!AC45="QUANT."),"►Q",IF(AND(ACOMPANHAMENTO="PLE",H45&lt;&gt;SUMPRODUCT(($Q$1:$AA$1=1)*ROUND(Q45:AA45,15))),"►S",IF(AND(COUNTIF($P$11:$AA$11,"▼")=0,H45&gt;0,I45=""),"◄M","")))))</f>
        <v/>
      </c>
      <c r="K45" s="347"/>
      <c r="L45" s="348" t="n">
        <f aca="true">OFFSET(L45,-1,0)+1</f>
        <v>30</v>
      </c>
      <c r="M45" s="349" t="n">
        <f aca="true">IF($D45&lt;&gt;"Serviço","",
          IF(AUTOEVENTO="manual",$A45,
                IF(ISERROR(MATCH($A45,$A$15:OFFSET($A45,-1,0),0)),MAX($M$15:OFFSET(M45,-1,0))+1,
                      INDEX($M$15:OFFSET(M45,-1,0),MATCH($A45,$A$15:OFFSET($A45,-1,0),0)))))</f>
        <v>8</v>
      </c>
      <c r="N45" s="350" t="str">
        <f aca="true">IF($D45&lt;&gt;"Serviço","",
         IF(AUTOEVENTO="Manual",
                IF($A45=0,"&lt;-- defina o número do agrupador",
                       OFFSET(EVENTOS!$D$15,$A45-$A$15,0)),
                OFFSET($F$15,$A45,0)))</f>
        <v>EQUIPAMENTO</v>
      </c>
      <c r="O45" s="351"/>
      <c r="Q45" s="351"/>
      <c r="R45" s="352"/>
      <c r="S45" s="352"/>
      <c r="T45" s="352"/>
      <c r="U45" s="352"/>
      <c r="V45" s="352"/>
      <c r="W45" s="352"/>
      <c r="X45" s="352"/>
      <c r="Y45" s="352"/>
      <c r="Z45" s="353"/>
      <c r="AB45" s="354" t="n">
        <f aca="true">IF(AND($D45="Serviço",AB$12&lt;&gt;0,$H45&gt;0,OR(AUTOEVENTO&lt;&gt;"manual",$M45&lt;&gt;$A$15)),
        IF(Import.TipoArredondamento&lt;&gt;"TransfereGOV",
              ROUND(OFFSET($P45,0,AB$13),15-13*ORÇAMENTO!$AF$7)/$H45*OFFSET(ORÇAMENTO!$X$15,ROW(AB45)-ROW(AB$15),0),
              ROUND(ROUND(OFFSET($P45,0,AB$13),15-13*ORÇAMENTO!$AF$7)*OFFSET(ORÇAMENTO!$W$15,ROW(AB45)-ROW(AB$15),0),15-13*ORÇAMENTO!$AF$11)),
         0)</f>
        <v>0</v>
      </c>
      <c r="AC45" s="354" t="n">
        <f aca="true">IF(AND($D45="Serviço",AC$12&lt;&gt;0,$H45&gt;0,OR(AUTOEVENTO&lt;&gt;"manual",$M45&lt;&gt;$A$15)),
        IF(Import.TipoArredondamento&lt;&gt;"TransfereGOV",
              ROUND(OFFSET($P45,0,AC$13),15-13*ORÇAMENTO!$AF$7)/$H45*OFFSET(ORÇAMENTO!$X$15,ROW(AC45)-ROW(AC$15),0),
              ROUND(ROUND(OFFSET($P45,0,AC$13),15-13*ORÇAMENTO!$AF$7)*OFFSET(ORÇAMENTO!$W$15,ROW(AC45)-ROW(AC$15),0),15-13*ORÇAMENTO!$AF$11)),
         0)</f>
        <v>0</v>
      </c>
      <c r="AD45" s="354" t="n">
        <f aca="true">IF(AND($D45="Serviço",AD$12&lt;&gt;0,$H45&gt;0,OR(AUTOEVENTO&lt;&gt;"manual",$M45&lt;&gt;$A$15)),
        IF(Import.TipoArredondamento&lt;&gt;"TransfereGOV",
              ROUND(OFFSET($P45,0,AD$13),15-13*ORÇAMENTO!$AF$7)/$H45*OFFSET(ORÇAMENTO!$X$15,ROW(AD45)-ROW(AD$15),0),
              ROUND(ROUND(OFFSET($P45,0,AD$13),15-13*ORÇAMENTO!$AF$7)*OFFSET(ORÇAMENTO!$W$15,ROW(AD45)-ROW(AD$15),0),15-13*ORÇAMENTO!$AF$11)),
         0)</f>
        <v>0</v>
      </c>
      <c r="AE45" s="354" t="n">
        <f aca="true">IF(AND($D45="Serviço",AE$12&lt;&gt;0,$H45&gt;0,OR(AUTOEVENTO&lt;&gt;"manual",$M45&lt;&gt;$A$15)),
        IF(Import.TipoArredondamento&lt;&gt;"TransfereGOV",
              ROUND(OFFSET($P45,0,AE$13),15-13*ORÇAMENTO!$AF$7)/$H45*OFFSET(ORÇAMENTO!$X$15,ROW(AE45)-ROW(AE$15),0),
              ROUND(ROUND(OFFSET($P45,0,AE$13),15-13*ORÇAMENTO!$AF$7)*OFFSET(ORÇAMENTO!$W$15,ROW(AE45)-ROW(AE$15),0),15-13*ORÇAMENTO!$AF$11)),
         0)</f>
        <v>0</v>
      </c>
      <c r="AF45" s="354" t="n">
        <f aca="true">IF(AND($D45="Serviço",AF$12&lt;&gt;0,$H45&gt;0,OR(AUTOEVENTO&lt;&gt;"manual",$M45&lt;&gt;$A$15)),
        IF(Import.TipoArredondamento&lt;&gt;"TransfereGOV",
              ROUND(OFFSET($P45,0,AF$13),15-13*ORÇAMENTO!$AF$7)/$H45*OFFSET(ORÇAMENTO!$X$15,ROW(AF45)-ROW(AF$15),0),
              ROUND(ROUND(OFFSET($P45,0,AF$13),15-13*ORÇAMENTO!$AF$7)*OFFSET(ORÇAMENTO!$W$15,ROW(AF45)-ROW(AF$15),0),15-13*ORÇAMENTO!$AF$11)),
         0)</f>
        <v>0</v>
      </c>
      <c r="AG45" s="354" t="n">
        <f aca="true">IF(AND($D45="Serviço",AG$12&lt;&gt;0,$H45&gt;0,OR(AUTOEVENTO&lt;&gt;"manual",$M45&lt;&gt;$A$15)),
        IF(Import.TipoArredondamento&lt;&gt;"TransfereGOV",
              ROUND(OFFSET($P45,0,AG$13),15-13*ORÇAMENTO!$AF$7)/$H45*OFFSET(ORÇAMENTO!$X$15,ROW(AG45)-ROW(AG$15),0),
              ROUND(ROUND(OFFSET($P45,0,AG$13),15-13*ORÇAMENTO!$AF$7)*OFFSET(ORÇAMENTO!$W$15,ROW(AG45)-ROW(AG$15),0),15-13*ORÇAMENTO!$AF$11)),
         0)</f>
        <v>0</v>
      </c>
      <c r="AH45" s="354" t="n">
        <f aca="true">IF(AND($D45="Serviço",AH$12&lt;&gt;0,$H45&gt;0,OR(AUTOEVENTO&lt;&gt;"manual",$M45&lt;&gt;$A$15)),
        IF(Import.TipoArredondamento&lt;&gt;"TransfereGOV",
              ROUND(OFFSET($P45,0,AH$13),15-13*ORÇAMENTO!$AF$7)/$H45*OFFSET(ORÇAMENTO!$X$15,ROW(AH45)-ROW(AH$15),0),
              ROUND(ROUND(OFFSET($P45,0,AH$13),15-13*ORÇAMENTO!$AF$7)*OFFSET(ORÇAMENTO!$W$15,ROW(AH45)-ROW(AH$15),0),15-13*ORÇAMENTO!$AF$11)),
         0)</f>
        <v>0</v>
      </c>
      <c r="AI45" s="354" t="n">
        <f aca="true">IF(AND($D45="Serviço",AI$12&lt;&gt;0,$H45&gt;0,OR(AUTOEVENTO&lt;&gt;"manual",$M45&lt;&gt;$A$15)),
        IF(Import.TipoArredondamento&lt;&gt;"TransfereGOV",
              ROUND(OFFSET($P45,0,AI$13),15-13*ORÇAMENTO!$AF$7)/$H45*OFFSET(ORÇAMENTO!$X$15,ROW(AI45)-ROW(AI$15),0),
              ROUND(ROUND(OFFSET($P45,0,AI$13),15-13*ORÇAMENTO!$AF$7)*OFFSET(ORÇAMENTO!$W$15,ROW(AI45)-ROW(AI$15),0),15-13*ORÇAMENTO!$AF$11)),
         0)</f>
        <v>0</v>
      </c>
      <c r="AJ45" s="354" t="n">
        <f aca="true">IF(AND($D45="Serviço",AJ$12&lt;&gt;0,$H45&gt;0,OR(AUTOEVENTO&lt;&gt;"manual",$M45&lt;&gt;$A$15)),
        IF(Import.TipoArredondamento&lt;&gt;"TransfereGOV",
              ROUND(OFFSET($P45,0,AJ$13),15-13*ORÇAMENTO!$AF$7)/$H45*OFFSET(ORÇAMENTO!$X$15,ROW(AJ45)-ROW(AJ$15),0),
              ROUND(ROUND(OFFSET($P45,0,AJ$13),15-13*ORÇAMENTO!$AF$7)*OFFSET(ORÇAMENTO!$W$15,ROW(AJ45)-ROW(AJ$15),0),15-13*ORÇAMENTO!$AF$11)),
         0)</f>
        <v>0</v>
      </c>
      <c r="AK45" s="354" t="n">
        <f aca="true">IF(AND($D45="Serviço",AK$12&lt;&gt;0,$H45&gt;0,OR(AUTOEVENTO&lt;&gt;"manual",$M45&lt;&gt;$A$15)),
        IF(Import.TipoArredondamento&lt;&gt;"TransfereGOV",
              ROUND(OFFSET($P45,0,AK$13),15-13*ORÇAMENTO!$AF$7)/$H45*OFFSET(ORÇAMENTO!$X$15,ROW(AK45)-ROW(AK$15),0),
              ROUND(ROUND(OFFSET($P45,0,AK$13),15-13*ORÇAMENTO!$AF$7)*OFFSET(ORÇAMENTO!$W$15,ROW(AK45)-ROW(AK$15),0),15-13*ORÇAMENTO!$AF$11)),
         0)</f>
        <v>0</v>
      </c>
      <c r="AM45" s="355" t="n">
        <f aca="true">IF(OR($D45&lt;&gt;"Serviço",AND(AUTOEVENTO="Manual",$M45=$A$15)),0,
         IF(OFFSET(CRONOPLE!$F$15,$M45-$A$15,AM$13)=0,10^12,OFFSET(CRONOPLE!$F$15,$M45-$A$15,AM$13)))</f>
        <v>1000000000000</v>
      </c>
      <c r="AN45" s="355" t="n">
        <f aca="true">IF(OR($D45&lt;&gt;"Serviço",AND(AUTOEVENTO="Manual",$M45=$A$15)),0,
         IF(OFFSET(CRONOPLE!$F$15,$M45-$A$15,AN$13)=0,10^12,OFFSET(CRONOPLE!$F$15,$M45-$A$15,AN$13)))</f>
        <v>1000000000000</v>
      </c>
      <c r="AO45" s="355" t="n">
        <f aca="true">IF(OR($D45&lt;&gt;"Serviço",AND(AUTOEVENTO="Manual",$M45=$A$15)),0,
         IF(OFFSET(CRONOPLE!$F$15,$M45-$A$15,AO$13)=0,10^12,OFFSET(CRONOPLE!$F$15,$M45-$A$15,AO$13)))</f>
        <v>1000000000000</v>
      </c>
      <c r="AP45" s="355" t="n">
        <f aca="true">IF(OR($D45&lt;&gt;"Serviço",AND(AUTOEVENTO="Manual",$M45=$A$15)),0,
         IF(OFFSET(CRONOPLE!$F$15,$M45-$A$15,AP$13)=0,10^12,OFFSET(CRONOPLE!$F$15,$M45-$A$15,AP$13)))</f>
        <v>1000000000000</v>
      </c>
      <c r="AQ45" s="355" t="n">
        <f aca="true">IF(OR($D45&lt;&gt;"Serviço",AND(AUTOEVENTO="Manual",$M45=$A$15)),0,
         IF(OFFSET(CRONOPLE!$F$15,$M45-$A$15,AQ$13)=0,10^12,OFFSET(CRONOPLE!$F$15,$M45-$A$15,AQ$13)))</f>
        <v>1000000000000</v>
      </c>
      <c r="AR45" s="355" t="n">
        <f aca="true">IF(OR($D45&lt;&gt;"Serviço",AND(AUTOEVENTO="Manual",$M45=$A$15)),0,
         IF(OFFSET(CRONOPLE!$F$15,$M45-$A$15,AR$13)=0,10^12,OFFSET(CRONOPLE!$F$15,$M45-$A$15,AR$13)))</f>
        <v>1000000000000</v>
      </c>
      <c r="AS45" s="355" t="n">
        <f aca="true">IF(OR($D45&lt;&gt;"Serviço",AND(AUTOEVENTO="Manual",$M45=$A$15)),0,
         IF(OFFSET(CRONOPLE!$F$15,$M45-$A$15,AS$13)=0,10^12,OFFSET(CRONOPLE!$F$15,$M45-$A$15,AS$13)))</f>
        <v>1000000000000</v>
      </c>
      <c r="AT45" s="355" t="n">
        <f aca="true">IF(OR($D45&lt;&gt;"Serviço",AND(AUTOEVENTO="Manual",$M45=$A$15)),0,
         IF(OFFSET(CRONOPLE!$F$15,$M45-$A$15,AT$13)=0,10^12,OFFSET(CRONOPLE!$F$15,$M45-$A$15,AT$13)))</f>
        <v>1000000000000</v>
      </c>
      <c r="AU45" s="355" t="n">
        <f aca="true">IF(OR($D45&lt;&gt;"Serviço",AND(AUTOEVENTO="Manual",$M45=$A$15)),0,
         IF(OFFSET(CRONOPLE!$F$15,$M45-$A$15,AU$13)=0,10^12,OFFSET(CRONOPLE!$F$15,$M45-$A$15,AU$13)))</f>
        <v>1000000000000</v>
      </c>
      <c r="AV45" s="355" t="n">
        <f aca="true">IF(OR($D45&lt;&gt;"Serviço",AND(AUTOEVENTO="Manual",$M45=$A$15)),0,
         IF(OFFSET(CRONOPLE!$F$15,$M45-$A$15,AV$13)=0,10^12,OFFSET(CRONOPLE!$F$15,$M45-$A$15,AV$13)))</f>
        <v>1000000000000</v>
      </c>
      <c r="AX45" s="356" t="n">
        <f aca="true" t="array" ref="AX45:AX45">IF(OR($D45&lt;&gt;"Serviço",AND(AUTOEVENTO="Manual",$M45=$A$15),$M45&gt;(ROW(PLE.lastrow)-ROW(PLE.firstrow))),0,
           IF(OFFSET(PLE!$G$15,$M45-$A$15,AX$13)="",10^12,OFFSET(PLE!$G$15,$M45-$A$15,AX$13)))</f>
        <v>1000000000000</v>
      </c>
      <c r="AY45" s="356" t="n">
        <f aca="true" t="array" ref="AY45:AY45">IF(OR($D45&lt;&gt;"Serviço",AND(AUTOEVENTO="Manual",$M45=$A$15),$M45&gt;(ROW(PLE.lastrow)-ROW(PLE.firstrow))),0,
           IF(OFFSET(PLE!$G$15,$M45-$A$15,AY$13)="",10^12,OFFSET(PLE!$G$15,$M45-$A$15,AY$13)))</f>
        <v>1000000000000</v>
      </c>
      <c r="AZ45" s="356" t="n">
        <f aca="true" t="array" ref="AZ45:AZ45">IF(OR($D45&lt;&gt;"Serviço",AND(AUTOEVENTO="Manual",$M45=$A$15),$M45&gt;(ROW(PLE.lastrow)-ROW(PLE.firstrow))),0,
           IF(OFFSET(PLE!$G$15,$M45-$A$15,AZ$13)="",10^12,OFFSET(PLE!$G$15,$M45-$A$15,AZ$13)))</f>
        <v>1000000000000</v>
      </c>
      <c r="BA45" s="356" t="n">
        <f aca="true" t="array" ref="BA45:BA45">IF(OR($D45&lt;&gt;"Serviço",AND(AUTOEVENTO="Manual",$M45=$A$15),$M45&gt;(ROW(PLE.lastrow)-ROW(PLE.firstrow))),0,
           IF(OFFSET(PLE!$G$15,$M45-$A$15,BA$13)="",10^12,OFFSET(PLE!$G$15,$M45-$A$15,BA$13)))</f>
        <v>1000000000000</v>
      </c>
      <c r="BB45" s="356" t="n">
        <f aca="true" t="array" ref="BB45:BB45">IF(OR($D45&lt;&gt;"Serviço",AND(AUTOEVENTO="Manual",$M45=$A$15),$M45&gt;(ROW(PLE.lastrow)-ROW(PLE.firstrow))),0,
           IF(OFFSET(PLE!$G$15,$M45-$A$15,BB$13)="",10^12,OFFSET(PLE!$G$15,$M45-$A$15,BB$13)))</f>
        <v>1000000000000</v>
      </c>
      <c r="BC45" s="356" t="n">
        <f aca="true" t="array" ref="BC45:BC45">IF(OR($D45&lt;&gt;"Serviço",AND(AUTOEVENTO="Manual",$M45=$A$15),$M45&gt;(ROW(PLE.lastrow)-ROW(PLE.firstrow))),0,
           IF(OFFSET(PLE!$G$15,$M45-$A$15,BC$13)="",10^12,OFFSET(PLE!$G$15,$M45-$A$15,BC$13)))</f>
        <v>1000000000000</v>
      </c>
      <c r="BD45" s="356" t="n">
        <f aca="true" t="array" ref="BD45:BD45">IF(OR($D45&lt;&gt;"Serviço",AND(AUTOEVENTO="Manual",$M45=$A$15),$M45&gt;(ROW(PLE.lastrow)-ROW(PLE.firstrow))),0,
           IF(OFFSET(PLE!$G$15,$M45-$A$15,BD$13)="",10^12,OFFSET(PLE!$G$15,$M45-$A$15,BD$13)))</f>
        <v>1000000000000</v>
      </c>
      <c r="BE45" s="356" t="n">
        <f aca="true" t="array" ref="BE45:BE45">IF(OR($D45&lt;&gt;"Serviço",AND(AUTOEVENTO="Manual",$M45=$A$15),$M45&gt;(ROW(PLE.lastrow)-ROW(PLE.firstrow))),0,
           IF(OFFSET(PLE!$G$15,$M45-$A$15,BE$13)="",10^12,OFFSET(PLE!$G$15,$M45-$A$15,BE$13)))</f>
        <v>1000000000000</v>
      </c>
      <c r="BF45" s="356" t="n">
        <f aca="true" t="array" ref="BF45:BF45">IF(OR($D45&lt;&gt;"Serviço",AND(AUTOEVENTO="Manual",$M45=$A$15),$M45&gt;(ROW(PLE.lastrow)-ROW(PLE.firstrow))),0,
           IF(OFFSET(PLE!$G$15,$M45-$A$15,BF$13)="",10^12,OFFSET(PLE!$G$15,$M45-$A$15,BF$13)))</f>
        <v>1000000000000</v>
      </c>
      <c r="BG45" s="356" t="n">
        <f aca="true" t="array" ref="BG45:BG45">IF(OR($D45&lt;&gt;"Serviço",AND(AUTOEVENTO="Manual",$M45=$A$15),$M45&gt;(ROW(PLE.lastrow)-ROW(PLE.firstrow))),0,
           IF(OFFSET(PLE!$G$15,$M45-$A$15,BG$13)="",10^12,OFFSET(PLE!$G$15,$M45-$A$15,BG$13)))</f>
        <v>1000000000000</v>
      </c>
    </row>
    <row r="46" customFormat="false" ht="12.75" hidden="false" customHeight="false" outlineLevel="0" collapsed="false">
      <c r="A46" s="48" t="str">
        <f aca="true">IFERROR(IF(AUTOEVENTO="Manual",IF(K46&lt;&gt;"",MIN(VALUE(LEFT(K46,FIND(".",K46)-1)),COUNTA(EVENTOS.Lista)),0),IF(OR($B46&gt;AUTOEVENTO,$B46="S",$B46=0),SUBSTITUTE(OFFSET($A46,-1,0),IF($D46="Serviço",".",""),""),$L46&amp;".")),0)</f>
        <v>27</v>
      </c>
      <c r="B46" s="48" t="str">
        <f aca="true">OFFSET(ORÇAMENTO!C$15,$L46,0)</f>
        <v>S</v>
      </c>
      <c r="C46" s="48" t="str">
        <f aca="true">OFFSET(ORÇAMENTO!L$15,$L46,0)</f>
        <v/>
      </c>
      <c r="D46" s="206" t="str">
        <f aca="true">OFFSET(ORÇAMENTO!N$15,$L46,0)</f>
        <v>Serviço</v>
      </c>
      <c r="E46" s="207" t="str">
        <f aca="true">OFFSET(ORÇAMENTO!O$15,$L46,0)</f>
        <v>-</v>
      </c>
      <c r="F46" s="343" t="str">
        <f aca="true">OFFSET(ORÇAMENTO!R$15,$L46,0)</f>
        <v>(Código não identificado nas referências)</v>
      </c>
      <c r="G46" s="344" t="str">
        <f aca="true">IF($D46&lt;&gt;"Serviço","",OFFSET(ORÇAMENTO!S$15,$L46,0))</f>
        <v>-</v>
      </c>
      <c r="H46" s="212" t="n">
        <f aca="true" t="array" ref="H46:H46">IF($D46&lt;&gt;"Serviço",0,IF(ACOMPANHAMENTO="BM",ROUND(OFFSET(ORÇAMENTO!AJ$15,$L46,0),15-13*ORÇAMENTO!$AF$7),IF(IFERROR(CÁLCULO.FrentesPreenchidas,0)=0,0,SUM(ROUND(OFFSET($P46,0,1,1,CÁLCULO.FrentesPreenchidas),15-13*ORÇAMENTO!$AF$7)))))</f>
        <v>4</v>
      </c>
      <c r="I46" s="345" t="s">
        <v>909</v>
      </c>
      <c r="J46" s="346" t="str">
        <f aca="false" t="array" ref="J46:J46">IF(OR(B46&lt;&gt;"S",CÁLCULO.FrentesPreenchidas=0),"",IF(AND(ACOMPANHAMENTO="PLE",AUTOEVENTO="Manual",OR(H46&gt;0,ORÇAMENTO!AC46="QUANT."),OR(K46="",M46=0,N46="")),"►E",IF(AND(ACOMPANHAMENTO="PLE",ORÇAMENTO!AC46="QUANT."),"►Q",IF(AND(ACOMPANHAMENTO="PLE",H46&lt;&gt;SUMPRODUCT(($Q$1:$AA$1=1)*ROUND(Q46:AA46,15))),"►S",IF(AND(COUNTIF($P$11:$AA$11,"▼")=0,H46&gt;0,I46=""),"◄M","")))))</f>
        <v/>
      </c>
      <c r="K46" s="347"/>
      <c r="L46" s="348" t="n">
        <f aca="true">OFFSET(L46,-1,0)+1</f>
        <v>31</v>
      </c>
      <c r="M46" s="349" t="n">
        <f aca="true">IF($D46&lt;&gt;"Serviço","",
          IF(AUTOEVENTO="manual",$A46,
                IF(ISERROR(MATCH($A46,$A$15:OFFSET($A46,-1,0),0)),MAX($M$15:OFFSET(M46,-1,0))+1,
                      INDEX($M$15:OFFSET(M46,-1,0),MATCH($A46,$A$15:OFFSET($A46,-1,0),0)))))</f>
        <v>8</v>
      </c>
      <c r="N46" s="350" t="str">
        <f aca="true">IF($D46&lt;&gt;"Serviço","",
         IF(AUTOEVENTO="Manual",
                IF($A46=0,"&lt;-- defina o número do agrupador",
                       OFFSET(EVENTOS!$D$15,$A46-$A$15,0)),
                OFFSET($F$15,$A46,0)))</f>
        <v>EQUIPAMENTO</v>
      </c>
      <c r="O46" s="351"/>
      <c r="Q46" s="351"/>
      <c r="R46" s="352"/>
      <c r="S46" s="352"/>
      <c r="T46" s="352"/>
      <c r="U46" s="352"/>
      <c r="V46" s="352"/>
      <c r="W46" s="352"/>
      <c r="X46" s="352"/>
      <c r="Y46" s="352"/>
      <c r="Z46" s="353"/>
      <c r="AB46" s="354" t="n">
        <f aca="true">IF(AND($D46="Serviço",AB$12&lt;&gt;0,$H46&gt;0,OR(AUTOEVENTO&lt;&gt;"manual",$M46&lt;&gt;$A$15)),
        IF(Import.TipoArredondamento&lt;&gt;"TransfereGOV",
              ROUND(OFFSET($P46,0,AB$13),15-13*ORÇAMENTO!$AF$7)/$H46*OFFSET(ORÇAMENTO!$X$15,ROW(AB46)-ROW(AB$15),0),
              ROUND(ROUND(OFFSET($P46,0,AB$13),15-13*ORÇAMENTO!$AF$7)*OFFSET(ORÇAMENTO!$W$15,ROW(AB46)-ROW(AB$15),0),15-13*ORÇAMENTO!$AF$11)),
         0)</f>
        <v>0</v>
      </c>
      <c r="AC46" s="354" t="n">
        <f aca="true">IF(AND($D46="Serviço",AC$12&lt;&gt;0,$H46&gt;0,OR(AUTOEVENTO&lt;&gt;"manual",$M46&lt;&gt;$A$15)),
        IF(Import.TipoArredondamento&lt;&gt;"TransfereGOV",
              ROUND(OFFSET($P46,0,AC$13),15-13*ORÇAMENTO!$AF$7)/$H46*OFFSET(ORÇAMENTO!$X$15,ROW(AC46)-ROW(AC$15),0),
              ROUND(ROUND(OFFSET($P46,0,AC$13),15-13*ORÇAMENTO!$AF$7)*OFFSET(ORÇAMENTO!$W$15,ROW(AC46)-ROW(AC$15),0),15-13*ORÇAMENTO!$AF$11)),
         0)</f>
        <v>0</v>
      </c>
      <c r="AD46" s="354" t="n">
        <f aca="true">IF(AND($D46="Serviço",AD$12&lt;&gt;0,$H46&gt;0,OR(AUTOEVENTO&lt;&gt;"manual",$M46&lt;&gt;$A$15)),
        IF(Import.TipoArredondamento&lt;&gt;"TransfereGOV",
              ROUND(OFFSET($P46,0,AD$13),15-13*ORÇAMENTO!$AF$7)/$H46*OFFSET(ORÇAMENTO!$X$15,ROW(AD46)-ROW(AD$15),0),
              ROUND(ROUND(OFFSET($P46,0,AD$13),15-13*ORÇAMENTO!$AF$7)*OFFSET(ORÇAMENTO!$W$15,ROW(AD46)-ROW(AD$15),0),15-13*ORÇAMENTO!$AF$11)),
         0)</f>
        <v>0</v>
      </c>
      <c r="AE46" s="354" t="n">
        <f aca="true">IF(AND($D46="Serviço",AE$12&lt;&gt;0,$H46&gt;0,OR(AUTOEVENTO&lt;&gt;"manual",$M46&lt;&gt;$A$15)),
        IF(Import.TipoArredondamento&lt;&gt;"TransfereGOV",
              ROUND(OFFSET($P46,0,AE$13),15-13*ORÇAMENTO!$AF$7)/$H46*OFFSET(ORÇAMENTO!$X$15,ROW(AE46)-ROW(AE$15),0),
              ROUND(ROUND(OFFSET($P46,0,AE$13),15-13*ORÇAMENTO!$AF$7)*OFFSET(ORÇAMENTO!$W$15,ROW(AE46)-ROW(AE$15),0),15-13*ORÇAMENTO!$AF$11)),
         0)</f>
        <v>0</v>
      </c>
      <c r="AF46" s="354" t="n">
        <f aca="true">IF(AND($D46="Serviço",AF$12&lt;&gt;0,$H46&gt;0,OR(AUTOEVENTO&lt;&gt;"manual",$M46&lt;&gt;$A$15)),
        IF(Import.TipoArredondamento&lt;&gt;"TransfereGOV",
              ROUND(OFFSET($P46,0,AF$13),15-13*ORÇAMENTO!$AF$7)/$H46*OFFSET(ORÇAMENTO!$X$15,ROW(AF46)-ROW(AF$15),0),
              ROUND(ROUND(OFFSET($P46,0,AF$13),15-13*ORÇAMENTO!$AF$7)*OFFSET(ORÇAMENTO!$W$15,ROW(AF46)-ROW(AF$15),0),15-13*ORÇAMENTO!$AF$11)),
         0)</f>
        <v>0</v>
      </c>
      <c r="AG46" s="354" t="n">
        <f aca="true">IF(AND($D46="Serviço",AG$12&lt;&gt;0,$H46&gt;0,OR(AUTOEVENTO&lt;&gt;"manual",$M46&lt;&gt;$A$15)),
        IF(Import.TipoArredondamento&lt;&gt;"TransfereGOV",
              ROUND(OFFSET($P46,0,AG$13),15-13*ORÇAMENTO!$AF$7)/$H46*OFFSET(ORÇAMENTO!$X$15,ROW(AG46)-ROW(AG$15),0),
              ROUND(ROUND(OFFSET($P46,0,AG$13),15-13*ORÇAMENTO!$AF$7)*OFFSET(ORÇAMENTO!$W$15,ROW(AG46)-ROW(AG$15),0),15-13*ORÇAMENTO!$AF$11)),
         0)</f>
        <v>0</v>
      </c>
      <c r="AH46" s="354" t="n">
        <f aca="true">IF(AND($D46="Serviço",AH$12&lt;&gt;0,$H46&gt;0,OR(AUTOEVENTO&lt;&gt;"manual",$M46&lt;&gt;$A$15)),
        IF(Import.TipoArredondamento&lt;&gt;"TransfereGOV",
              ROUND(OFFSET($P46,0,AH$13),15-13*ORÇAMENTO!$AF$7)/$H46*OFFSET(ORÇAMENTO!$X$15,ROW(AH46)-ROW(AH$15),0),
              ROUND(ROUND(OFFSET($P46,0,AH$13),15-13*ORÇAMENTO!$AF$7)*OFFSET(ORÇAMENTO!$W$15,ROW(AH46)-ROW(AH$15),0),15-13*ORÇAMENTO!$AF$11)),
         0)</f>
        <v>0</v>
      </c>
      <c r="AI46" s="354" t="n">
        <f aca="true">IF(AND($D46="Serviço",AI$12&lt;&gt;0,$H46&gt;0,OR(AUTOEVENTO&lt;&gt;"manual",$M46&lt;&gt;$A$15)),
        IF(Import.TipoArredondamento&lt;&gt;"TransfereGOV",
              ROUND(OFFSET($P46,0,AI$13),15-13*ORÇAMENTO!$AF$7)/$H46*OFFSET(ORÇAMENTO!$X$15,ROW(AI46)-ROW(AI$15),0),
              ROUND(ROUND(OFFSET($P46,0,AI$13),15-13*ORÇAMENTO!$AF$7)*OFFSET(ORÇAMENTO!$W$15,ROW(AI46)-ROW(AI$15),0),15-13*ORÇAMENTO!$AF$11)),
         0)</f>
        <v>0</v>
      </c>
      <c r="AJ46" s="354" t="n">
        <f aca="true">IF(AND($D46="Serviço",AJ$12&lt;&gt;0,$H46&gt;0,OR(AUTOEVENTO&lt;&gt;"manual",$M46&lt;&gt;$A$15)),
        IF(Import.TipoArredondamento&lt;&gt;"TransfereGOV",
              ROUND(OFFSET($P46,0,AJ$13),15-13*ORÇAMENTO!$AF$7)/$H46*OFFSET(ORÇAMENTO!$X$15,ROW(AJ46)-ROW(AJ$15),0),
              ROUND(ROUND(OFFSET($P46,0,AJ$13),15-13*ORÇAMENTO!$AF$7)*OFFSET(ORÇAMENTO!$W$15,ROW(AJ46)-ROW(AJ$15),0),15-13*ORÇAMENTO!$AF$11)),
         0)</f>
        <v>0</v>
      </c>
      <c r="AK46" s="354" t="n">
        <f aca="true">IF(AND($D46="Serviço",AK$12&lt;&gt;0,$H46&gt;0,OR(AUTOEVENTO&lt;&gt;"manual",$M46&lt;&gt;$A$15)),
        IF(Import.TipoArredondamento&lt;&gt;"TransfereGOV",
              ROUND(OFFSET($P46,0,AK$13),15-13*ORÇAMENTO!$AF$7)/$H46*OFFSET(ORÇAMENTO!$X$15,ROW(AK46)-ROW(AK$15),0),
              ROUND(ROUND(OFFSET($P46,0,AK$13),15-13*ORÇAMENTO!$AF$7)*OFFSET(ORÇAMENTO!$W$15,ROW(AK46)-ROW(AK$15),0),15-13*ORÇAMENTO!$AF$11)),
         0)</f>
        <v>0</v>
      </c>
      <c r="AM46" s="355" t="n">
        <f aca="true">IF(OR($D46&lt;&gt;"Serviço",AND(AUTOEVENTO="Manual",$M46=$A$15)),0,
         IF(OFFSET(CRONOPLE!$F$15,$M46-$A$15,AM$13)=0,10^12,OFFSET(CRONOPLE!$F$15,$M46-$A$15,AM$13)))</f>
        <v>1000000000000</v>
      </c>
      <c r="AN46" s="355" t="n">
        <f aca="true">IF(OR($D46&lt;&gt;"Serviço",AND(AUTOEVENTO="Manual",$M46=$A$15)),0,
         IF(OFFSET(CRONOPLE!$F$15,$M46-$A$15,AN$13)=0,10^12,OFFSET(CRONOPLE!$F$15,$M46-$A$15,AN$13)))</f>
        <v>1000000000000</v>
      </c>
      <c r="AO46" s="355" t="n">
        <f aca="true">IF(OR($D46&lt;&gt;"Serviço",AND(AUTOEVENTO="Manual",$M46=$A$15)),0,
         IF(OFFSET(CRONOPLE!$F$15,$M46-$A$15,AO$13)=0,10^12,OFFSET(CRONOPLE!$F$15,$M46-$A$15,AO$13)))</f>
        <v>1000000000000</v>
      </c>
      <c r="AP46" s="355" t="n">
        <f aca="true">IF(OR($D46&lt;&gt;"Serviço",AND(AUTOEVENTO="Manual",$M46=$A$15)),0,
         IF(OFFSET(CRONOPLE!$F$15,$M46-$A$15,AP$13)=0,10^12,OFFSET(CRONOPLE!$F$15,$M46-$A$15,AP$13)))</f>
        <v>1000000000000</v>
      </c>
      <c r="AQ46" s="355" t="n">
        <f aca="true">IF(OR($D46&lt;&gt;"Serviço",AND(AUTOEVENTO="Manual",$M46=$A$15)),0,
         IF(OFFSET(CRONOPLE!$F$15,$M46-$A$15,AQ$13)=0,10^12,OFFSET(CRONOPLE!$F$15,$M46-$A$15,AQ$13)))</f>
        <v>1000000000000</v>
      </c>
      <c r="AR46" s="355" t="n">
        <f aca="true">IF(OR($D46&lt;&gt;"Serviço",AND(AUTOEVENTO="Manual",$M46=$A$15)),0,
         IF(OFFSET(CRONOPLE!$F$15,$M46-$A$15,AR$13)=0,10^12,OFFSET(CRONOPLE!$F$15,$M46-$A$15,AR$13)))</f>
        <v>1000000000000</v>
      </c>
      <c r="AS46" s="355" t="n">
        <f aca="true">IF(OR($D46&lt;&gt;"Serviço",AND(AUTOEVENTO="Manual",$M46=$A$15)),0,
         IF(OFFSET(CRONOPLE!$F$15,$M46-$A$15,AS$13)=0,10^12,OFFSET(CRONOPLE!$F$15,$M46-$A$15,AS$13)))</f>
        <v>1000000000000</v>
      </c>
      <c r="AT46" s="355" t="n">
        <f aca="true">IF(OR($D46&lt;&gt;"Serviço",AND(AUTOEVENTO="Manual",$M46=$A$15)),0,
         IF(OFFSET(CRONOPLE!$F$15,$M46-$A$15,AT$13)=0,10^12,OFFSET(CRONOPLE!$F$15,$M46-$A$15,AT$13)))</f>
        <v>1000000000000</v>
      </c>
      <c r="AU46" s="355" t="n">
        <f aca="true">IF(OR($D46&lt;&gt;"Serviço",AND(AUTOEVENTO="Manual",$M46=$A$15)),0,
         IF(OFFSET(CRONOPLE!$F$15,$M46-$A$15,AU$13)=0,10^12,OFFSET(CRONOPLE!$F$15,$M46-$A$15,AU$13)))</f>
        <v>1000000000000</v>
      </c>
      <c r="AV46" s="355" t="n">
        <f aca="true">IF(OR($D46&lt;&gt;"Serviço",AND(AUTOEVENTO="Manual",$M46=$A$15)),0,
         IF(OFFSET(CRONOPLE!$F$15,$M46-$A$15,AV$13)=0,10^12,OFFSET(CRONOPLE!$F$15,$M46-$A$15,AV$13)))</f>
        <v>1000000000000</v>
      </c>
      <c r="AX46" s="356" t="n">
        <f aca="true" t="array" ref="AX46:AX46">IF(OR($D46&lt;&gt;"Serviço",AND(AUTOEVENTO="Manual",$M46=$A$15),$M46&gt;(ROW(PLE.lastrow)-ROW(PLE.firstrow))),0,
           IF(OFFSET(PLE!$G$15,$M46-$A$15,AX$13)="",10^12,OFFSET(PLE!$G$15,$M46-$A$15,AX$13)))</f>
        <v>1000000000000</v>
      </c>
      <c r="AY46" s="356" t="n">
        <f aca="true" t="array" ref="AY46:AY46">IF(OR($D46&lt;&gt;"Serviço",AND(AUTOEVENTO="Manual",$M46=$A$15),$M46&gt;(ROW(PLE.lastrow)-ROW(PLE.firstrow))),0,
           IF(OFFSET(PLE!$G$15,$M46-$A$15,AY$13)="",10^12,OFFSET(PLE!$G$15,$M46-$A$15,AY$13)))</f>
        <v>1000000000000</v>
      </c>
      <c r="AZ46" s="356" t="n">
        <f aca="true" t="array" ref="AZ46:AZ46">IF(OR($D46&lt;&gt;"Serviço",AND(AUTOEVENTO="Manual",$M46=$A$15),$M46&gt;(ROW(PLE.lastrow)-ROW(PLE.firstrow))),0,
           IF(OFFSET(PLE!$G$15,$M46-$A$15,AZ$13)="",10^12,OFFSET(PLE!$G$15,$M46-$A$15,AZ$13)))</f>
        <v>1000000000000</v>
      </c>
      <c r="BA46" s="356" t="n">
        <f aca="true" t="array" ref="BA46:BA46">IF(OR($D46&lt;&gt;"Serviço",AND(AUTOEVENTO="Manual",$M46=$A$15),$M46&gt;(ROW(PLE.lastrow)-ROW(PLE.firstrow))),0,
           IF(OFFSET(PLE!$G$15,$M46-$A$15,BA$13)="",10^12,OFFSET(PLE!$G$15,$M46-$A$15,BA$13)))</f>
        <v>1000000000000</v>
      </c>
      <c r="BB46" s="356" t="n">
        <f aca="true" t="array" ref="BB46:BB46">IF(OR($D46&lt;&gt;"Serviço",AND(AUTOEVENTO="Manual",$M46=$A$15),$M46&gt;(ROW(PLE.lastrow)-ROW(PLE.firstrow))),0,
           IF(OFFSET(PLE!$G$15,$M46-$A$15,BB$13)="",10^12,OFFSET(PLE!$G$15,$M46-$A$15,BB$13)))</f>
        <v>1000000000000</v>
      </c>
      <c r="BC46" s="356" t="n">
        <f aca="true" t="array" ref="BC46:BC46">IF(OR($D46&lt;&gt;"Serviço",AND(AUTOEVENTO="Manual",$M46=$A$15),$M46&gt;(ROW(PLE.lastrow)-ROW(PLE.firstrow))),0,
           IF(OFFSET(PLE!$G$15,$M46-$A$15,BC$13)="",10^12,OFFSET(PLE!$G$15,$M46-$A$15,BC$13)))</f>
        <v>1000000000000</v>
      </c>
      <c r="BD46" s="356" t="n">
        <f aca="true" t="array" ref="BD46:BD46">IF(OR($D46&lt;&gt;"Serviço",AND(AUTOEVENTO="Manual",$M46=$A$15),$M46&gt;(ROW(PLE.lastrow)-ROW(PLE.firstrow))),0,
           IF(OFFSET(PLE!$G$15,$M46-$A$15,BD$13)="",10^12,OFFSET(PLE!$G$15,$M46-$A$15,BD$13)))</f>
        <v>1000000000000</v>
      </c>
      <c r="BE46" s="356" t="n">
        <f aca="true" t="array" ref="BE46:BE46">IF(OR($D46&lt;&gt;"Serviço",AND(AUTOEVENTO="Manual",$M46=$A$15),$M46&gt;(ROW(PLE.lastrow)-ROW(PLE.firstrow))),0,
           IF(OFFSET(PLE!$G$15,$M46-$A$15,BE$13)="",10^12,OFFSET(PLE!$G$15,$M46-$A$15,BE$13)))</f>
        <v>1000000000000</v>
      </c>
      <c r="BF46" s="356" t="n">
        <f aca="true" t="array" ref="BF46:BF46">IF(OR($D46&lt;&gt;"Serviço",AND(AUTOEVENTO="Manual",$M46=$A$15),$M46&gt;(ROW(PLE.lastrow)-ROW(PLE.firstrow))),0,
           IF(OFFSET(PLE!$G$15,$M46-$A$15,BF$13)="",10^12,OFFSET(PLE!$G$15,$M46-$A$15,BF$13)))</f>
        <v>1000000000000</v>
      </c>
      <c r="BG46" s="356" t="n">
        <f aca="true" t="array" ref="BG46:BG46">IF(OR($D46&lt;&gt;"Serviço",AND(AUTOEVENTO="Manual",$M46=$A$15),$M46&gt;(ROW(PLE.lastrow)-ROW(PLE.firstrow))),0,
           IF(OFFSET(PLE!$G$15,$M46-$A$15,BG$13)="",10^12,OFFSET(PLE!$G$15,$M46-$A$15,BG$13)))</f>
        <v>1000000000000</v>
      </c>
    </row>
    <row r="47" customFormat="false" ht="12.75" hidden="false" customHeight="false" outlineLevel="0" collapsed="false">
      <c r="A47" s="48" t="str">
        <f aca="true">IFERROR(IF(AUTOEVENTO="Manual",IF(K47&lt;&gt;"",MIN(VALUE(LEFT(K47,FIND(".",K47)-1)),COUNTA(EVENTOS.Lista)),0),IF(OR($B47&gt;AUTOEVENTO,$B47="S",$B47=0),SUBSTITUTE(OFFSET($A47,-1,0),IF($D47="Serviço",".",""),""),$L47&amp;".")),0)</f>
        <v>27</v>
      </c>
      <c r="B47" s="48" t="str">
        <f aca="true">OFFSET(ORÇAMENTO!C$15,$L47,0)</f>
        <v>S</v>
      </c>
      <c r="C47" s="48" t="str">
        <f aca="true">OFFSET(ORÇAMENTO!L$15,$L47,0)</f>
        <v/>
      </c>
      <c r="D47" s="206" t="str">
        <f aca="true">OFFSET(ORÇAMENTO!N$15,$L47,0)</f>
        <v>Serviço</v>
      </c>
      <c r="E47" s="207" t="str">
        <f aca="true">OFFSET(ORÇAMENTO!O$15,$L47,0)</f>
        <v>-</v>
      </c>
      <c r="F47" s="343" t="str">
        <f aca="true">OFFSET(ORÇAMENTO!R$15,$L47,0)</f>
        <v>(Código não identificado nas referências)</v>
      </c>
      <c r="G47" s="344" t="str">
        <f aca="true">IF($D47&lt;&gt;"Serviço","",OFFSET(ORÇAMENTO!S$15,$L47,0))</f>
        <v>-</v>
      </c>
      <c r="H47" s="212" t="n">
        <f aca="true" t="array" ref="H47:H47">IF($D47&lt;&gt;"Serviço",0,IF(ACOMPANHAMENTO="BM",ROUND(OFFSET(ORÇAMENTO!AJ$15,$L47,0),15-13*ORÇAMENTO!$AF$7),IF(IFERROR(CÁLCULO.FrentesPreenchidas,0)=0,0,SUM(ROUND(OFFSET($P47,0,1,1,CÁLCULO.FrentesPreenchidas),15-13*ORÇAMENTO!$AF$7)))))</f>
        <v>2</v>
      </c>
      <c r="I47" s="345" t="s">
        <v>910</v>
      </c>
      <c r="J47" s="346" t="str">
        <f aca="false" t="array" ref="J47:J47">IF(OR(B47&lt;&gt;"S",CÁLCULO.FrentesPreenchidas=0),"",IF(AND(ACOMPANHAMENTO="PLE",AUTOEVENTO="Manual",OR(H47&gt;0,ORÇAMENTO!AC47="QUANT."),OR(K47="",M47=0,N47="")),"►E",IF(AND(ACOMPANHAMENTO="PLE",ORÇAMENTO!AC47="QUANT."),"►Q",IF(AND(ACOMPANHAMENTO="PLE",H47&lt;&gt;SUMPRODUCT(($Q$1:$AA$1=1)*ROUND(Q47:AA47,15))),"►S",IF(AND(COUNTIF($P$11:$AA$11,"▼")=0,H47&gt;0,I47=""),"◄M","")))))</f>
        <v/>
      </c>
      <c r="K47" s="347"/>
      <c r="L47" s="348" t="n">
        <f aca="true">OFFSET(L47,-1,0)+1</f>
        <v>32</v>
      </c>
      <c r="M47" s="349" t="n">
        <f aca="true">IF($D47&lt;&gt;"Serviço","",
          IF(AUTOEVENTO="manual",$A47,
                IF(ISERROR(MATCH($A47,$A$15:OFFSET($A47,-1,0),0)),MAX($M$15:OFFSET(M47,-1,0))+1,
                      INDEX($M$15:OFFSET(M47,-1,0),MATCH($A47,$A$15:OFFSET($A47,-1,0),0)))))</f>
        <v>8</v>
      </c>
      <c r="N47" s="350" t="str">
        <f aca="true">IF($D47&lt;&gt;"Serviço","",
         IF(AUTOEVENTO="Manual",
                IF($A47=0,"&lt;-- defina o número do agrupador",
                       OFFSET(EVENTOS!$D$15,$A47-$A$15,0)),
                OFFSET($F$15,$A47,0)))</f>
        <v>EQUIPAMENTO</v>
      </c>
      <c r="O47" s="351"/>
      <c r="Q47" s="351"/>
      <c r="R47" s="352"/>
      <c r="S47" s="352"/>
      <c r="T47" s="352"/>
      <c r="U47" s="352"/>
      <c r="V47" s="352"/>
      <c r="W47" s="352"/>
      <c r="X47" s="352"/>
      <c r="Y47" s="352"/>
      <c r="Z47" s="353"/>
      <c r="AB47" s="354" t="n">
        <f aca="true">IF(AND($D47="Serviço",AB$12&lt;&gt;0,$H47&gt;0,OR(AUTOEVENTO&lt;&gt;"manual",$M47&lt;&gt;$A$15)),
        IF(Import.TipoArredondamento&lt;&gt;"TransfereGOV",
              ROUND(OFFSET($P47,0,AB$13),15-13*ORÇAMENTO!$AF$7)/$H47*OFFSET(ORÇAMENTO!$X$15,ROW(AB47)-ROW(AB$15),0),
              ROUND(ROUND(OFFSET($P47,0,AB$13),15-13*ORÇAMENTO!$AF$7)*OFFSET(ORÇAMENTO!$W$15,ROW(AB47)-ROW(AB$15),0),15-13*ORÇAMENTO!$AF$11)),
         0)</f>
        <v>0</v>
      </c>
      <c r="AC47" s="354" t="n">
        <f aca="true">IF(AND($D47="Serviço",AC$12&lt;&gt;0,$H47&gt;0,OR(AUTOEVENTO&lt;&gt;"manual",$M47&lt;&gt;$A$15)),
        IF(Import.TipoArredondamento&lt;&gt;"TransfereGOV",
              ROUND(OFFSET($P47,0,AC$13),15-13*ORÇAMENTO!$AF$7)/$H47*OFFSET(ORÇAMENTO!$X$15,ROW(AC47)-ROW(AC$15),0),
              ROUND(ROUND(OFFSET($P47,0,AC$13),15-13*ORÇAMENTO!$AF$7)*OFFSET(ORÇAMENTO!$W$15,ROW(AC47)-ROW(AC$15),0),15-13*ORÇAMENTO!$AF$11)),
         0)</f>
        <v>0</v>
      </c>
      <c r="AD47" s="354" t="n">
        <f aca="true">IF(AND($D47="Serviço",AD$12&lt;&gt;0,$H47&gt;0,OR(AUTOEVENTO&lt;&gt;"manual",$M47&lt;&gt;$A$15)),
        IF(Import.TipoArredondamento&lt;&gt;"TransfereGOV",
              ROUND(OFFSET($P47,0,AD$13),15-13*ORÇAMENTO!$AF$7)/$H47*OFFSET(ORÇAMENTO!$X$15,ROW(AD47)-ROW(AD$15),0),
              ROUND(ROUND(OFFSET($P47,0,AD$13),15-13*ORÇAMENTO!$AF$7)*OFFSET(ORÇAMENTO!$W$15,ROW(AD47)-ROW(AD$15),0),15-13*ORÇAMENTO!$AF$11)),
         0)</f>
        <v>0</v>
      </c>
      <c r="AE47" s="354" t="n">
        <f aca="true">IF(AND($D47="Serviço",AE$12&lt;&gt;0,$H47&gt;0,OR(AUTOEVENTO&lt;&gt;"manual",$M47&lt;&gt;$A$15)),
        IF(Import.TipoArredondamento&lt;&gt;"TransfereGOV",
              ROUND(OFFSET($P47,0,AE$13),15-13*ORÇAMENTO!$AF$7)/$H47*OFFSET(ORÇAMENTO!$X$15,ROW(AE47)-ROW(AE$15),0),
              ROUND(ROUND(OFFSET($P47,0,AE$13),15-13*ORÇAMENTO!$AF$7)*OFFSET(ORÇAMENTO!$W$15,ROW(AE47)-ROW(AE$15),0),15-13*ORÇAMENTO!$AF$11)),
         0)</f>
        <v>0</v>
      </c>
      <c r="AF47" s="354" t="n">
        <f aca="true">IF(AND($D47="Serviço",AF$12&lt;&gt;0,$H47&gt;0,OR(AUTOEVENTO&lt;&gt;"manual",$M47&lt;&gt;$A$15)),
        IF(Import.TipoArredondamento&lt;&gt;"TransfereGOV",
              ROUND(OFFSET($P47,0,AF$13),15-13*ORÇAMENTO!$AF$7)/$H47*OFFSET(ORÇAMENTO!$X$15,ROW(AF47)-ROW(AF$15),0),
              ROUND(ROUND(OFFSET($P47,0,AF$13),15-13*ORÇAMENTO!$AF$7)*OFFSET(ORÇAMENTO!$W$15,ROW(AF47)-ROW(AF$15),0),15-13*ORÇAMENTO!$AF$11)),
         0)</f>
        <v>0</v>
      </c>
      <c r="AG47" s="354" t="n">
        <f aca="true">IF(AND($D47="Serviço",AG$12&lt;&gt;0,$H47&gt;0,OR(AUTOEVENTO&lt;&gt;"manual",$M47&lt;&gt;$A$15)),
        IF(Import.TipoArredondamento&lt;&gt;"TransfereGOV",
              ROUND(OFFSET($P47,0,AG$13),15-13*ORÇAMENTO!$AF$7)/$H47*OFFSET(ORÇAMENTO!$X$15,ROW(AG47)-ROW(AG$15),0),
              ROUND(ROUND(OFFSET($P47,0,AG$13),15-13*ORÇAMENTO!$AF$7)*OFFSET(ORÇAMENTO!$W$15,ROW(AG47)-ROW(AG$15),0),15-13*ORÇAMENTO!$AF$11)),
         0)</f>
        <v>0</v>
      </c>
      <c r="AH47" s="354" t="n">
        <f aca="true">IF(AND($D47="Serviço",AH$12&lt;&gt;0,$H47&gt;0,OR(AUTOEVENTO&lt;&gt;"manual",$M47&lt;&gt;$A$15)),
        IF(Import.TipoArredondamento&lt;&gt;"TransfereGOV",
              ROUND(OFFSET($P47,0,AH$13),15-13*ORÇAMENTO!$AF$7)/$H47*OFFSET(ORÇAMENTO!$X$15,ROW(AH47)-ROW(AH$15),0),
              ROUND(ROUND(OFFSET($P47,0,AH$13),15-13*ORÇAMENTO!$AF$7)*OFFSET(ORÇAMENTO!$W$15,ROW(AH47)-ROW(AH$15),0),15-13*ORÇAMENTO!$AF$11)),
         0)</f>
        <v>0</v>
      </c>
      <c r="AI47" s="354" t="n">
        <f aca="true">IF(AND($D47="Serviço",AI$12&lt;&gt;0,$H47&gt;0,OR(AUTOEVENTO&lt;&gt;"manual",$M47&lt;&gt;$A$15)),
        IF(Import.TipoArredondamento&lt;&gt;"TransfereGOV",
              ROUND(OFFSET($P47,0,AI$13),15-13*ORÇAMENTO!$AF$7)/$H47*OFFSET(ORÇAMENTO!$X$15,ROW(AI47)-ROW(AI$15),0),
              ROUND(ROUND(OFFSET($P47,0,AI$13),15-13*ORÇAMENTO!$AF$7)*OFFSET(ORÇAMENTO!$W$15,ROW(AI47)-ROW(AI$15),0),15-13*ORÇAMENTO!$AF$11)),
         0)</f>
        <v>0</v>
      </c>
      <c r="AJ47" s="354" t="n">
        <f aca="true">IF(AND($D47="Serviço",AJ$12&lt;&gt;0,$H47&gt;0,OR(AUTOEVENTO&lt;&gt;"manual",$M47&lt;&gt;$A$15)),
        IF(Import.TipoArredondamento&lt;&gt;"TransfereGOV",
              ROUND(OFFSET($P47,0,AJ$13),15-13*ORÇAMENTO!$AF$7)/$H47*OFFSET(ORÇAMENTO!$X$15,ROW(AJ47)-ROW(AJ$15),0),
              ROUND(ROUND(OFFSET($P47,0,AJ$13),15-13*ORÇAMENTO!$AF$7)*OFFSET(ORÇAMENTO!$W$15,ROW(AJ47)-ROW(AJ$15),0),15-13*ORÇAMENTO!$AF$11)),
         0)</f>
        <v>0</v>
      </c>
      <c r="AK47" s="354" t="n">
        <f aca="true">IF(AND($D47="Serviço",AK$12&lt;&gt;0,$H47&gt;0,OR(AUTOEVENTO&lt;&gt;"manual",$M47&lt;&gt;$A$15)),
        IF(Import.TipoArredondamento&lt;&gt;"TransfereGOV",
              ROUND(OFFSET($P47,0,AK$13),15-13*ORÇAMENTO!$AF$7)/$H47*OFFSET(ORÇAMENTO!$X$15,ROW(AK47)-ROW(AK$15),0),
              ROUND(ROUND(OFFSET($P47,0,AK$13),15-13*ORÇAMENTO!$AF$7)*OFFSET(ORÇAMENTO!$W$15,ROW(AK47)-ROW(AK$15),0),15-13*ORÇAMENTO!$AF$11)),
         0)</f>
        <v>0</v>
      </c>
      <c r="AM47" s="355" t="n">
        <f aca="true">IF(OR($D47&lt;&gt;"Serviço",AND(AUTOEVENTO="Manual",$M47=$A$15)),0,
         IF(OFFSET(CRONOPLE!$F$15,$M47-$A$15,AM$13)=0,10^12,OFFSET(CRONOPLE!$F$15,$M47-$A$15,AM$13)))</f>
        <v>1000000000000</v>
      </c>
      <c r="AN47" s="355" t="n">
        <f aca="true">IF(OR($D47&lt;&gt;"Serviço",AND(AUTOEVENTO="Manual",$M47=$A$15)),0,
         IF(OFFSET(CRONOPLE!$F$15,$M47-$A$15,AN$13)=0,10^12,OFFSET(CRONOPLE!$F$15,$M47-$A$15,AN$13)))</f>
        <v>1000000000000</v>
      </c>
      <c r="AO47" s="355" t="n">
        <f aca="true">IF(OR($D47&lt;&gt;"Serviço",AND(AUTOEVENTO="Manual",$M47=$A$15)),0,
         IF(OFFSET(CRONOPLE!$F$15,$M47-$A$15,AO$13)=0,10^12,OFFSET(CRONOPLE!$F$15,$M47-$A$15,AO$13)))</f>
        <v>1000000000000</v>
      </c>
      <c r="AP47" s="355" t="n">
        <f aca="true">IF(OR($D47&lt;&gt;"Serviço",AND(AUTOEVENTO="Manual",$M47=$A$15)),0,
         IF(OFFSET(CRONOPLE!$F$15,$M47-$A$15,AP$13)=0,10^12,OFFSET(CRONOPLE!$F$15,$M47-$A$15,AP$13)))</f>
        <v>1000000000000</v>
      </c>
      <c r="AQ47" s="355" t="n">
        <f aca="true">IF(OR($D47&lt;&gt;"Serviço",AND(AUTOEVENTO="Manual",$M47=$A$15)),0,
         IF(OFFSET(CRONOPLE!$F$15,$M47-$A$15,AQ$13)=0,10^12,OFFSET(CRONOPLE!$F$15,$M47-$A$15,AQ$13)))</f>
        <v>1000000000000</v>
      </c>
      <c r="AR47" s="355" t="n">
        <f aca="true">IF(OR($D47&lt;&gt;"Serviço",AND(AUTOEVENTO="Manual",$M47=$A$15)),0,
         IF(OFFSET(CRONOPLE!$F$15,$M47-$A$15,AR$13)=0,10^12,OFFSET(CRONOPLE!$F$15,$M47-$A$15,AR$13)))</f>
        <v>1000000000000</v>
      </c>
      <c r="AS47" s="355" t="n">
        <f aca="true">IF(OR($D47&lt;&gt;"Serviço",AND(AUTOEVENTO="Manual",$M47=$A$15)),0,
         IF(OFFSET(CRONOPLE!$F$15,$M47-$A$15,AS$13)=0,10^12,OFFSET(CRONOPLE!$F$15,$M47-$A$15,AS$13)))</f>
        <v>1000000000000</v>
      </c>
      <c r="AT47" s="355" t="n">
        <f aca="true">IF(OR($D47&lt;&gt;"Serviço",AND(AUTOEVENTO="Manual",$M47=$A$15)),0,
         IF(OFFSET(CRONOPLE!$F$15,$M47-$A$15,AT$13)=0,10^12,OFFSET(CRONOPLE!$F$15,$M47-$A$15,AT$13)))</f>
        <v>1000000000000</v>
      </c>
      <c r="AU47" s="355" t="n">
        <f aca="true">IF(OR($D47&lt;&gt;"Serviço",AND(AUTOEVENTO="Manual",$M47=$A$15)),0,
         IF(OFFSET(CRONOPLE!$F$15,$M47-$A$15,AU$13)=0,10^12,OFFSET(CRONOPLE!$F$15,$M47-$A$15,AU$13)))</f>
        <v>1000000000000</v>
      </c>
      <c r="AV47" s="355" t="n">
        <f aca="true">IF(OR($D47&lt;&gt;"Serviço",AND(AUTOEVENTO="Manual",$M47=$A$15)),0,
         IF(OFFSET(CRONOPLE!$F$15,$M47-$A$15,AV$13)=0,10^12,OFFSET(CRONOPLE!$F$15,$M47-$A$15,AV$13)))</f>
        <v>1000000000000</v>
      </c>
      <c r="AX47" s="356" t="n">
        <f aca="true" t="array" ref="AX47:AX47">IF(OR($D47&lt;&gt;"Serviço",AND(AUTOEVENTO="Manual",$M47=$A$15),$M47&gt;(ROW(PLE.lastrow)-ROW(PLE.firstrow))),0,
           IF(OFFSET(PLE!$G$15,$M47-$A$15,AX$13)="",10^12,OFFSET(PLE!$G$15,$M47-$A$15,AX$13)))</f>
        <v>1000000000000</v>
      </c>
      <c r="AY47" s="356" t="n">
        <f aca="true" t="array" ref="AY47:AY47">IF(OR($D47&lt;&gt;"Serviço",AND(AUTOEVENTO="Manual",$M47=$A$15),$M47&gt;(ROW(PLE.lastrow)-ROW(PLE.firstrow))),0,
           IF(OFFSET(PLE!$G$15,$M47-$A$15,AY$13)="",10^12,OFFSET(PLE!$G$15,$M47-$A$15,AY$13)))</f>
        <v>1000000000000</v>
      </c>
      <c r="AZ47" s="356" t="n">
        <f aca="true" t="array" ref="AZ47:AZ47">IF(OR($D47&lt;&gt;"Serviço",AND(AUTOEVENTO="Manual",$M47=$A$15),$M47&gt;(ROW(PLE.lastrow)-ROW(PLE.firstrow))),0,
           IF(OFFSET(PLE!$G$15,$M47-$A$15,AZ$13)="",10^12,OFFSET(PLE!$G$15,$M47-$A$15,AZ$13)))</f>
        <v>1000000000000</v>
      </c>
      <c r="BA47" s="356" t="n">
        <f aca="true" t="array" ref="BA47:BA47">IF(OR($D47&lt;&gt;"Serviço",AND(AUTOEVENTO="Manual",$M47=$A$15),$M47&gt;(ROW(PLE.lastrow)-ROW(PLE.firstrow))),0,
           IF(OFFSET(PLE!$G$15,$M47-$A$15,BA$13)="",10^12,OFFSET(PLE!$G$15,$M47-$A$15,BA$13)))</f>
        <v>1000000000000</v>
      </c>
      <c r="BB47" s="356" t="n">
        <f aca="true" t="array" ref="BB47:BB47">IF(OR($D47&lt;&gt;"Serviço",AND(AUTOEVENTO="Manual",$M47=$A$15),$M47&gt;(ROW(PLE.lastrow)-ROW(PLE.firstrow))),0,
           IF(OFFSET(PLE!$G$15,$M47-$A$15,BB$13)="",10^12,OFFSET(PLE!$G$15,$M47-$A$15,BB$13)))</f>
        <v>1000000000000</v>
      </c>
      <c r="BC47" s="356" t="n">
        <f aca="true" t="array" ref="BC47:BC47">IF(OR($D47&lt;&gt;"Serviço",AND(AUTOEVENTO="Manual",$M47=$A$15),$M47&gt;(ROW(PLE.lastrow)-ROW(PLE.firstrow))),0,
           IF(OFFSET(PLE!$G$15,$M47-$A$15,BC$13)="",10^12,OFFSET(PLE!$G$15,$M47-$A$15,BC$13)))</f>
        <v>1000000000000</v>
      </c>
      <c r="BD47" s="356" t="n">
        <f aca="true" t="array" ref="BD47:BD47">IF(OR($D47&lt;&gt;"Serviço",AND(AUTOEVENTO="Manual",$M47=$A$15),$M47&gt;(ROW(PLE.lastrow)-ROW(PLE.firstrow))),0,
           IF(OFFSET(PLE!$G$15,$M47-$A$15,BD$13)="",10^12,OFFSET(PLE!$G$15,$M47-$A$15,BD$13)))</f>
        <v>1000000000000</v>
      </c>
      <c r="BE47" s="356" t="n">
        <f aca="true" t="array" ref="BE47:BE47">IF(OR($D47&lt;&gt;"Serviço",AND(AUTOEVENTO="Manual",$M47=$A$15),$M47&gt;(ROW(PLE.lastrow)-ROW(PLE.firstrow))),0,
           IF(OFFSET(PLE!$G$15,$M47-$A$15,BE$13)="",10^12,OFFSET(PLE!$G$15,$M47-$A$15,BE$13)))</f>
        <v>1000000000000</v>
      </c>
      <c r="BF47" s="356" t="n">
        <f aca="true" t="array" ref="BF47:BF47">IF(OR($D47&lt;&gt;"Serviço",AND(AUTOEVENTO="Manual",$M47=$A$15),$M47&gt;(ROW(PLE.lastrow)-ROW(PLE.firstrow))),0,
           IF(OFFSET(PLE!$G$15,$M47-$A$15,BF$13)="",10^12,OFFSET(PLE!$G$15,$M47-$A$15,BF$13)))</f>
        <v>1000000000000</v>
      </c>
      <c r="BG47" s="356" t="n">
        <f aca="true" t="array" ref="BG47:BG47">IF(OR($D47&lt;&gt;"Serviço",AND(AUTOEVENTO="Manual",$M47=$A$15),$M47&gt;(ROW(PLE.lastrow)-ROW(PLE.firstrow))),0,
           IF(OFFSET(PLE!$G$15,$M47-$A$15,BG$13)="",10^12,OFFSET(PLE!$G$15,$M47-$A$15,BG$13)))</f>
        <v>1000000000000</v>
      </c>
    </row>
    <row r="48" customFormat="false" ht="12.75" hidden="false" customHeight="false" outlineLevel="0" collapsed="false">
      <c r="A48" s="48" t="str">
        <f aca="true">IFERROR(IF(AUTOEVENTO="Manual",IF(K48&lt;&gt;"",MIN(VALUE(LEFT(K48,FIND(".",K48)-1)),COUNTA(EVENTOS.Lista)),0),IF(OR($B48&gt;AUTOEVENTO,$B48="S",$B48=0),SUBSTITUTE(OFFSET($A48,-1,0),IF($D48="Serviço",".",""),""),$L48&amp;".")),0)</f>
        <v>27</v>
      </c>
      <c r="B48" s="48" t="str">
        <f aca="true">OFFSET(ORÇAMENTO!C$15,$L48,0)</f>
        <v>S</v>
      </c>
      <c r="C48" s="48" t="str">
        <f aca="true">OFFSET(ORÇAMENTO!L$15,$L48,0)</f>
        <v/>
      </c>
      <c r="D48" s="206" t="str">
        <f aca="true">OFFSET(ORÇAMENTO!N$15,$L48,0)</f>
        <v>Serviço</v>
      </c>
      <c r="E48" s="207" t="str">
        <f aca="true">OFFSET(ORÇAMENTO!O$15,$L48,0)</f>
        <v>-</v>
      </c>
      <c r="F48" s="343" t="str">
        <f aca="true">OFFSET(ORÇAMENTO!R$15,$L48,0)</f>
        <v>(Código não identificado nas referências)</v>
      </c>
      <c r="G48" s="344" t="str">
        <f aca="true">IF($D48&lt;&gt;"Serviço","",OFFSET(ORÇAMENTO!S$15,$L48,0))</f>
        <v>-</v>
      </c>
      <c r="H48" s="212" t="n">
        <f aca="true" t="array" ref="H48:H48">IF($D48&lt;&gt;"Serviço",0,IF(ACOMPANHAMENTO="BM",ROUND(OFFSET(ORÇAMENTO!AJ$15,$L48,0),15-13*ORÇAMENTO!$AF$7),IF(IFERROR(CÁLCULO.FrentesPreenchidas,0)=0,0,SUM(ROUND(OFFSET($P48,0,1,1,CÁLCULO.FrentesPreenchidas),15-13*ORÇAMENTO!$AF$7)))))</f>
        <v>1</v>
      </c>
      <c r="I48" s="345" t="s">
        <v>896</v>
      </c>
      <c r="J48" s="346" t="str">
        <f aca="false" t="array" ref="J48:J48">IF(OR(B48&lt;&gt;"S",CÁLCULO.FrentesPreenchidas=0),"",IF(AND(ACOMPANHAMENTO="PLE",AUTOEVENTO="Manual",OR(H48&gt;0,ORÇAMENTO!AC48="QUANT."),OR(K48="",M48=0,N48="")),"►E",IF(AND(ACOMPANHAMENTO="PLE",ORÇAMENTO!AC48="QUANT."),"►Q",IF(AND(ACOMPANHAMENTO="PLE",H48&lt;&gt;SUMPRODUCT(($Q$1:$AA$1=1)*ROUND(Q48:AA48,15))),"►S",IF(AND(COUNTIF($P$11:$AA$11,"▼")=0,H48&gt;0,I48=""),"◄M","")))))</f>
        <v/>
      </c>
      <c r="K48" s="347"/>
      <c r="L48" s="348" t="n">
        <f aca="true">OFFSET(L48,-1,0)+1</f>
        <v>33</v>
      </c>
      <c r="M48" s="349" t="n">
        <f aca="true">IF($D48&lt;&gt;"Serviço","",
          IF(AUTOEVENTO="manual",$A48,
                IF(ISERROR(MATCH($A48,$A$15:OFFSET($A48,-1,0),0)),MAX($M$15:OFFSET(M48,-1,0))+1,
                      INDEX($M$15:OFFSET(M48,-1,0),MATCH($A48,$A$15:OFFSET($A48,-1,0),0)))))</f>
        <v>8</v>
      </c>
      <c r="N48" s="350" t="str">
        <f aca="true">IF($D48&lt;&gt;"Serviço","",
         IF(AUTOEVENTO="Manual",
                IF($A48=0,"&lt;-- defina o número do agrupador",
                       OFFSET(EVENTOS!$D$15,$A48-$A$15,0)),
                OFFSET($F$15,$A48,0)))</f>
        <v>EQUIPAMENTO</v>
      </c>
      <c r="O48" s="351"/>
      <c r="Q48" s="351"/>
      <c r="R48" s="352"/>
      <c r="S48" s="352"/>
      <c r="T48" s="352"/>
      <c r="U48" s="352"/>
      <c r="V48" s="352"/>
      <c r="W48" s="352"/>
      <c r="X48" s="352"/>
      <c r="Y48" s="352"/>
      <c r="Z48" s="353"/>
      <c r="AB48" s="354" t="n">
        <f aca="true">IF(AND($D48="Serviço",AB$12&lt;&gt;0,$H48&gt;0,OR(AUTOEVENTO&lt;&gt;"manual",$M48&lt;&gt;$A$15)),
        IF(Import.TipoArredondamento&lt;&gt;"TransfereGOV",
              ROUND(OFFSET($P48,0,AB$13),15-13*ORÇAMENTO!$AF$7)/$H48*OFFSET(ORÇAMENTO!$X$15,ROW(AB48)-ROW(AB$15),0),
              ROUND(ROUND(OFFSET($P48,0,AB$13),15-13*ORÇAMENTO!$AF$7)*OFFSET(ORÇAMENTO!$W$15,ROW(AB48)-ROW(AB$15),0),15-13*ORÇAMENTO!$AF$11)),
         0)</f>
        <v>0</v>
      </c>
      <c r="AC48" s="354" t="n">
        <f aca="true">IF(AND($D48="Serviço",AC$12&lt;&gt;0,$H48&gt;0,OR(AUTOEVENTO&lt;&gt;"manual",$M48&lt;&gt;$A$15)),
        IF(Import.TipoArredondamento&lt;&gt;"TransfereGOV",
              ROUND(OFFSET($P48,0,AC$13),15-13*ORÇAMENTO!$AF$7)/$H48*OFFSET(ORÇAMENTO!$X$15,ROW(AC48)-ROW(AC$15),0),
              ROUND(ROUND(OFFSET($P48,0,AC$13),15-13*ORÇAMENTO!$AF$7)*OFFSET(ORÇAMENTO!$W$15,ROW(AC48)-ROW(AC$15),0),15-13*ORÇAMENTO!$AF$11)),
         0)</f>
        <v>0</v>
      </c>
      <c r="AD48" s="354" t="n">
        <f aca="true">IF(AND($D48="Serviço",AD$12&lt;&gt;0,$H48&gt;0,OR(AUTOEVENTO&lt;&gt;"manual",$M48&lt;&gt;$A$15)),
        IF(Import.TipoArredondamento&lt;&gt;"TransfereGOV",
              ROUND(OFFSET($P48,0,AD$13),15-13*ORÇAMENTO!$AF$7)/$H48*OFFSET(ORÇAMENTO!$X$15,ROW(AD48)-ROW(AD$15),0),
              ROUND(ROUND(OFFSET($P48,0,AD$13),15-13*ORÇAMENTO!$AF$7)*OFFSET(ORÇAMENTO!$W$15,ROW(AD48)-ROW(AD$15),0),15-13*ORÇAMENTO!$AF$11)),
         0)</f>
        <v>0</v>
      </c>
      <c r="AE48" s="354" t="n">
        <f aca="true">IF(AND($D48="Serviço",AE$12&lt;&gt;0,$H48&gt;0,OR(AUTOEVENTO&lt;&gt;"manual",$M48&lt;&gt;$A$15)),
        IF(Import.TipoArredondamento&lt;&gt;"TransfereGOV",
              ROUND(OFFSET($P48,0,AE$13),15-13*ORÇAMENTO!$AF$7)/$H48*OFFSET(ORÇAMENTO!$X$15,ROW(AE48)-ROW(AE$15),0),
              ROUND(ROUND(OFFSET($P48,0,AE$13),15-13*ORÇAMENTO!$AF$7)*OFFSET(ORÇAMENTO!$W$15,ROW(AE48)-ROW(AE$15),0),15-13*ORÇAMENTO!$AF$11)),
         0)</f>
        <v>0</v>
      </c>
      <c r="AF48" s="354" t="n">
        <f aca="true">IF(AND($D48="Serviço",AF$12&lt;&gt;0,$H48&gt;0,OR(AUTOEVENTO&lt;&gt;"manual",$M48&lt;&gt;$A$15)),
        IF(Import.TipoArredondamento&lt;&gt;"TransfereGOV",
              ROUND(OFFSET($P48,0,AF$13),15-13*ORÇAMENTO!$AF$7)/$H48*OFFSET(ORÇAMENTO!$X$15,ROW(AF48)-ROW(AF$15),0),
              ROUND(ROUND(OFFSET($P48,0,AF$13),15-13*ORÇAMENTO!$AF$7)*OFFSET(ORÇAMENTO!$W$15,ROW(AF48)-ROW(AF$15),0),15-13*ORÇAMENTO!$AF$11)),
         0)</f>
        <v>0</v>
      </c>
      <c r="AG48" s="354" t="n">
        <f aca="true">IF(AND($D48="Serviço",AG$12&lt;&gt;0,$H48&gt;0,OR(AUTOEVENTO&lt;&gt;"manual",$M48&lt;&gt;$A$15)),
        IF(Import.TipoArredondamento&lt;&gt;"TransfereGOV",
              ROUND(OFFSET($P48,0,AG$13),15-13*ORÇAMENTO!$AF$7)/$H48*OFFSET(ORÇAMENTO!$X$15,ROW(AG48)-ROW(AG$15),0),
              ROUND(ROUND(OFFSET($P48,0,AG$13),15-13*ORÇAMENTO!$AF$7)*OFFSET(ORÇAMENTO!$W$15,ROW(AG48)-ROW(AG$15),0),15-13*ORÇAMENTO!$AF$11)),
         0)</f>
        <v>0</v>
      </c>
      <c r="AH48" s="354" t="n">
        <f aca="true">IF(AND($D48="Serviço",AH$12&lt;&gt;0,$H48&gt;0,OR(AUTOEVENTO&lt;&gt;"manual",$M48&lt;&gt;$A$15)),
        IF(Import.TipoArredondamento&lt;&gt;"TransfereGOV",
              ROUND(OFFSET($P48,0,AH$13),15-13*ORÇAMENTO!$AF$7)/$H48*OFFSET(ORÇAMENTO!$X$15,ROW(AH48)-ROW(AH$15),0),
              ROUND(ROUND(OFFSET($P48,0,AH$13),15-13*ORÇAMENTO!$AF$7)*OFFSET(ORÇAMENTO!$W$15,ROW(AH48)-ROW(AH$15),0),15-13*ORÇAMENTO!$AF$11)),
         0)</f>
        <v>0</v>
      </c>
      <c r="AI48" s="354" t="n">
        <f aca="true">IF(AND($D48="Serviço",AI$12&lt;&gt;0,$H48&gt;0,OR(AUTOEVENTO&lt;&gt;"manual",$M48&lt;&gt;$A$15)),
        IF(Import.TipoArredondamento&lt;&gt;"TransfereGOV",
              ROUND(OFFSET($P48,0,AI$13),15-13*ORÇAMENTO!$AF$7)/$H48*OFFSET(ORÇAMENTO!$X$15,ROW(AI48)-ROW(AI$15),0),
              ROUND(ROUND(OFFSET($P48,0,AI$13),15-13*ORÇAMENTO!$AF$7)*OFFSET(ORÇAMENTO!$W$15,ROW(AI48)-ROW(AI$15),0),15-13*ORÇAMENTO!$AF$11)),
         0)</f>
        <v>0</v>
      </c>
      <c r="AJ48" s="354" t="n">
        <f aca="true">IF(AND($D48="Serviço",AJ$12&lt;&gt;0,$H48&gt;0,OR(AUTOEVENTO&lt;&gt;"manual",$M48&lt;&gt;$A$15)),
        IF(Import.TipoArredondamento&lt;&gt;"TransfereGOV",
              ROUND(OFFSET($P48,0,AJ$13),15-13*ORÇAMENTO!$AF$7)/$H48*OFFSET(ORÇAMENTO!$X$15,ROW(AJ48)-ROW(AJ$15),0),
              ROUND(ROUND(OFFSET($P48,0,AJ$13),15-13*ORÇAMENTO!$AF$7)*OFFSET(ORÇAMENTO!$W$15,ROW(AJ48)-ROW(AJ$15),0),15-13*ORÇAMENTO!$AF$11)),
         0)</f>
        <v>0</v>
      </c>
      <c r="AK48" s="354" t="n">
        <f aca="true">IF(AND($D48="Serviço",AK$12&lt;&gt;0,$H48&gt;0,OR(AUTOEVENTO&lt;&gt;"manual",$M48&lt;&gt;$A$15)),
        IF(Import.TipoArredondamento&lt;&gt;"TransfereGOV",
              ROUND(OFFSET($P48,0,AK$13),15-13*ORÇAMENTO!$AF$7)/$H48*OFFSET(ORÇAMENTO!$X$15,ROW(AK48)-ROW(AK$15),0),
              ROUND(ROUND(OFFSET($P48,0,AK$13),15-13*ORÇAMENTO!$AF$7)*OFFSET(ORÇAMENTO!$W$15,ROW(AK48)-ROW(AK$15),0),15-13*ORÇAMENTO!$AF$11)),
         0)</f>
        <v>0</v>
      </c>
      <c r="AM48" s="355" t="n">
        <f aca="true">IF(OR($D48&lt;&gt;"Serviço",AND(AUTOEVENTO="Manual",$M48=$A$15)),0,
         IF(OFFSET(CRONOPLE!$F$15,$M48-$A$15,AM$13)=0,10^12,OFFSET(CRONOPLE!$F$15,$M48-$A$15,AM$13)))</f>
        <v>1000000000000</v>
      </c>
      <c r="AN48" s="355" t="n">
        <f aca="true">IF(OR($D48&lt;&gt;"Serviço",AND(AUTOEVENTO="Manual",$M48=$A$15)),0,
         IF(OFFSET(CRONOPLE!$F$15,$M48-$A$15,AN$13)=0,10^12,OFFSET(CRONOPLE!$F$15,$M48-$A$15,AN$13)))</f>
        <v>1000000000000</v>
      </c>
      <c r="AO48" s="355" t="n">
        <f aca="true">IF(OR($D48&lt;&gt;"Serviço",AND(AUTOEVENTO="Manual",$M48=$A$15)),0,
         IF(OFFSET(CRONOPLE!$F$15,$M48-$A$15,AO$13)=0,10^12,OFFSET(CRONOPLE!$F$15,$M48-$A$15,AO$13)))</f>
        <v>1000000000000</v>
      </c>
      <c r="AP48" s="355" t="n">
        <f aca="true">IF(OR($D48&lt;&gt;"Serviço",AND(AUTOEVENTO="Manual",$M48=$A$15)),0,
         IF(OFFSET(CRONOPLE!$F$15,$M48-$A$15,AP$13)=0,10^12,OFFSET(CRONOPLE!$F$15,$M48-$A$15,AP$13)))</f>
        <v>1000000000000</v>
      </c>
      <c r="AQ48" s="355" t="n">
        <f aca="true">IF(OR($D48&lt;&gt;"Serviço",AND(AUTOEVENTO="Manual",$M48=$A$15)),0,
         IF(OFFSET(CRONOPLE!$F$15,$M48-$A$15,AQ$13)=0,10^12,OFFSET(CRONOPLE!$F$15,$M48-$A$15,AQ$13)))</f>
        <v>1000000000000</v>
      </c>
      <c r="AR48" s="355" t="n">
        <f aca="true">IF(OR($D48&lt;&gt;"Serviço",AND(AUTOEVENTO="Manual",$M48=$A$15)),0,
         IF(OFFSET(CRONOPLE!$F$15,$M48-$A$15,AR$13)=0,10^12,OFFSET(CRONOPLE!$F$15,$M48-$A$15,AR$13)))</f>
        <v>1000000000000</v>
      </c>
      <c r="AS48" s="355" t="n">
        <f aca="true">IF(OR($D48&lt;&gt;"Serviço",AND(AUTOEVENTO="Manual",$M48=$A$15)),0,
         IF(OFFSET(CRONOPLE!$F$15,$M48-$A$15,AS$13)=0,10^12,OFFSET(CRONOPLE!$F$15,$M48-$A$15,AS$13)))</f>
        <v>1000000000000</v>
      </c>
      <c r="AT48" s="355" t="n">
        <f aca="true">IF(OR($D48&lt;&gt;"Serviço",AND(AUTOEVENTO="Manual",$M48=$A$15)),0,
         IF(OFFSET(CRONOPLE!$F$15,$M48-$A$15,AT$13)=0,10^12,OFFSET(CRONOPLE!$F$15,$M48-$A$15,AT$13)))</f>
        <v>1000000000000</v>
      </c>
      <c r="AU48" s="355" t="n">
        <f aca="true">IF(OR($D48&lt;&gt;"Serviço",AND(AUTOEVENTO="Manual",$M48=$A$15)),0,
         IF(OFFSET(CRONOPLE!$F$15,$M48-$A$15,AU$13)=0,10^12,OFFSET(CRONOPLE!$F$15,$M48-$A$15,AU$13)))</f>
        <v>1000000000000</v>
      </c>
      <c r="AV48" s="355" t="n">
        <f aca="true">IF(OR($D48&lt;&gt;"Serviço",AND(AUTOEVENTO="Manual",$M48=$A$15)),0,
         IF(OFFSET(CRONOPLE!$F$15,$M48-$A$15,AV$13)=0,10^12,OFFSET(CRONOPLE!$F$15,$M48-$A$15,AV$13)))</f>
        <v>1000000000000</v>
      </c>
      <c r="AX48" s="356" t="n">
        <f aca="true" t="array" ref="AX48:AX48">IF(OR($D48&lt;&gt;"Serviço",AND(AUTOEVENTO="Manual",$M48=$A$15),$M48&gt;(ROW(PLE.lastrow)-ROW(PLE.firstrow))),0,
           IF(OFFSET(PLE!$G$15,$M48-$A$15,AX$13)="",10^12,OFFSET(PLE!$G$15,$M48-$A$15,AX$13)))</f>
        <v>1000000000000</v>
      </c>
      <c r="AY48" s="356" t="n">
        <f aca="true" t="array" ref="AY48:AY48">IF(OR($D48&lt;&gt;"Serviço",AND(AUTOEVENTO="Manual",$M48=$A$15),$M48&gt;(ROW(PLE.lastrow)-ROW(PLE.firstrow))),0,
           IF(OFFSET(PLE!$G$15,$M48-$A$15,AY$13)="",10^12,OFFSET(PLE!$G$15,$M48-$A$15,AY$13)))</f>
        <v>1000000000000</v>
      </c>
      <c r="AZ48" s="356" t="n">
        <f aca="true" t="array" ref="AZ48:AZ48">IF(OR($D48&lt;&gt;"Serviço",AND(AUTOEVENTO="Manual",$M48=$A$15),$M48&gt;(ROW(PLE.lastrow)-ROW(PLE.firstrow))),0,
           IF(OFFSET(PLE!$G$15,$M48-$A$15,AZ$13)="",10^12,OFFSET(PLE!$G$15,$M48-$A$15,AZ$13)))</f>
        <v>1000000000000</v>
      </c>
      <c r="BA48" s="356" t="n">
        <f aca="true" t="array" ref="BA48:BA48">IF(OR($D48&lt;&gt;"Serviço",AND(AUTOEVENTO="Manual",$M48=$A$15),$M48&gt;(ROW(PLE.lastrow)-ROW(PLE.firstrow))),0,
           IF(OFFSET(PLE!$G$15,$M48-$A$15,BA$13)="",10^12,OFFSET(PLE!$G$15,$M48-$A$15,BA$13)))</f>
        <v>1000000000000</v>
      </c>
      <c r="BB48" s="356" t="n">
        <f aca="true" t="array" ref="BB48:BB48">IF(OR($D48&lt;&gt;"Serviço",AND(AUTOEVENTO="Manual",$M48=$A$15),$M48&gt;(ROW(PLE.lastrow)-ROW(PLE.firstrow))),0,
           IF(OFFSET(PLE!$G$15,$M48-$A$15,BB$13)="",10^12,OFFSET(PLE!$G$15,$M48-$A$15,BB$13)))</f>
        <v>1000000000000</v>
      </c>
      <c r="BC48" s="356" t="n">
        <f aca="true" t="array" ref="BC48:BC48">IF(OR($D48&lt;&gt;"Serviço",AND(AUTOEVENTO="Manual",$M48=$A$15),$M48&gt;(ROW(PLE.lastrow)-ROW(PLE.firstrow))),0,
           IF(OFFSET(PLE!$G$15,$M48-$A$15,BC$13)="",10^12,OFFSET(PLE!$G$15,$M48-$A$15,BC$13)))</f>
        <v>1000000000000</v>
      </c>
      <c r="BD48" s="356" t="n">
        <f aca="true" t="array" ref="BD48:BD48">IF(OR($D48&lt;&gt;"Serviço",AND(AUTOEVENTO="Manual",$M48=$A$15),$M48&gt;(ROW(PLE.lastrow)-ROW(PLE.firstrow))),0,
           IF(OFFSET(PLE!$G$15,$M48-$A$15,BD$13)="",10^12,OFFSET(PLE!$G$15,$M48-$A$15,BD$13)))</f>
        <v>1000000000000</v>
      </c>
      <c r="BE48" s="356" t="n">
        <f aca="true" t="array" ref="BE48:BE48">IF(OR($D48&lt;&gt;"Serviço",AND(AUTOEVENTO="Manual",$M48=$A$15),$M48&gt;(ROW(PLE.lastrow)-ROW(PLE.firstrow))),0,
           IF(OFFSET(PLE!$G$15,$M48-$A$15,BE$13)="",10^12,OFFSET(PLE!$G$15,$M48-$A$15,BE$13)))</f>
        <v>1000000000000</v>
      </c>
      <c r="BF48" s="356" t="n">
        <f aca="true" t="array" ref="BF48:BF48">IF(OR($D48&lt;&gt;"Serviço",AND(AUTOEVENTO="Manual",$M48=$A$15),$M48&gt;(ROW(PLE.lastrow)-ROW(PLE.firstrow))),0,
           IF(OFFSET(PLE!$G$15,$M48-$A$15,BF$13)="",10^12,OFFSET(PLE!$G$15,$M48-$A$15,BF$13)))</f>
        <v>1000000000000</v>
      </c>
      <c r="BG48" s="356" t="n">
        <f aca="true" t="array" ref="BG48:BG48">IF(OR($D48&lt;&gt;"Serviço",AND(AUTOEVENTO="Manual",$M48=$A$15),$M48&gt;(ROW(PLE.lastrow)-ROW(PLE.firstrow))),0,
           IF(OFFSET(PLE!$G$15,$M48-$A$15,BG$13)="",10^12,OFFSET(PLE!$G$15,$M48-$A$15,BG$13)))</f>
        <v>1000000000000</v>
      </c>
    </row>
    <row r="49" customFormat="false" ht="12.75" hidden="false" customHeight="false" outlineLevel="0" collapsed="false">
      <c r="A49" s="48" t="str">
        <f aca="true">IFERROR(IF(AUTOEVENTO="Manual",IF(K49&lt;&gt;"",MIN(VALUE(LEFT(K49,FIND(".",K49)-1)),COUNTA(EVENTOS.Lista)),0),IF(OR($B49&gt;AUTOEVENTO,$B49="S",$B49=0),SUBSTITUTE(OFFSET($A49,-1,0),IF($D49="Serviço",".",""),""),$L49&amp;".")),0)</f>
        <v>34.</v>
      </c>
      <c r="B49" s="48" t="n">
        <f aca="true">OFFSET(ORÇAMENTO!C$15,$L49,0)</f>
        <v>2</v>
      </c>
      <c r="C49" s="48" t="str">
        <f aca="true">OFFSET(ORÇAMENTO!L$15,$L49,0)</f>
        <v>F</v>
      </c>
      <c r="D49" s="206" t="str">
        <f aca="true">OFFSET(ORÇAMENTO!N$15,$L49,0)</f>
        <v>Nível 2</v>
      </c>
      <c r="E49" s="207" t="str">
        <f aca="true">OFFSET(ORÇAMENTO!O$15,$L49,0)</f>
        <v>1.9.</v>
      </c>
      <c r="F49" s="343" t="str">
        <f aca="true">OFFSET(ORÇAMENTO!R$15,$L49,0)</f>
        <v>PINTURA</v>
      </c>
      <c r="G49" s="344" t="str">
        <f aca="true">IF($D49&lt;&gt;"Serviço","",OFFSET(ORÇAMENTO!S$15,$L49,0))</f>
        <v/>
      </c>
      <c r="H49" s="212" t="n">
        <f aca="true" t="array" ref="H49:H49">IF($D49&lt;&gt;"Serviço",0,IF(ACOMPANHAMENTO="BM",ROUND(OFFSET(ORÇAMENTO!AJ$15,$L49,0),15-13*ORÇAMENTO!$AF$7),IF(IFERROR(CÁLCULO.FrentesPreenchidas,0)=0,0,SUM(ROUND(OFFSET($P49,0,1,1,CÁLCULO.FrentesPreenchidas),15-13*ORÇAMENTO!$AF$7)))))</f>
        <v>0</v>
      </c>
      <c r="I49" s="345"/>
      <c r="J49" s="346" t="str">
        <f aca="false" t="array" ref="J49:J49">IF(OR(B49&lt;&gt;"S",CÁLCULO.FrentesPreenchidas=0),"",IF(AND(ACOMPANHAMENTO="PLE",AUTOEVENTO="Manual",OR(H49&gt;0,ORÇAMENTO!AC49="QUANT."),OR(K49="",M49=0,N49="")),"►E",IF(AND(ACOMPANHAMENTO="PLE",ORÇAMENTO!AC49="QUANT."),"►Q",IF(AND(ACOMPANHAMENTO="PLE",H49&lt;&gt;SUMPRODUCT(($Q$1:$AA$1=1)*ROUND(Q49:AA49,15))),"►S",IF(AND(COUNTIF($P$11:$AA$11,"▼")=0,H49&gt;0,I49=""),"◄M","")))))</f>
        <v/>
      </c>
      <c r="K49" s="347"/>
      <c r="L49" s="348" t="n">
        <f aca="true">OFFSET(L49,-1,0)+1</f>
        <v>34</v>
      </c>
      <c r="M49" s="349" t="str">
        <f aca="true">IF($D49&lt;&gt;"Serviço","",
          IF(AUTOEVENTO="manual",$A49,
                IF(ISERROR(MATCH($A49,$A$15:OFFSET($A49,-1,0),0)),MAX($M$15:OFFSET(M49,-1,0))+1,
                      INDEX($M$15:OFFSET(M49,-1,0),MATCH($A49,$A$15:OFFSET($A49,-1,0),0)))))</f>
        <v/>
      </c>
      <c r="N49" s="350" t="str">
        <f aca="true">IF($D49&lt;&gt;"Serviço","",
         IF(AUTOEVENTO="Manual",
                IF($A49=0,"&lt;-- defina o número do agrupador",
                       OFFSET(EVENTOS!$D$15,$A49-$A$15,0)),
                OFFSET($F$15,$A49,0)))</f>
        <v/>
      </c>
      <c r="O49" s="351"/>
      <c r="Q49" s="351"/>
      <c r="R49" s="352"/>
      <c r="S49" s="352"/>
      <c r="T49" s="352"/>
      <c r="U49" s="352"/>
      <c r="V49" s="352"/>
      <c r="W49" s="352"/>
      <c r="X49" s="352"/>
      <c r="Y49" s="352"/>
      <c r="Z49" s="353"/>
      <c r="AB49" s="354" t="n">
        <f aca="true">IF(AND($D49="Serviço",AB$12&lt;&gt;0,$H49&gt;0,OR(AUTOEVENTO&lt;&gt;"manual",$M49&lt;&gt;$A$15)),
        IF(Import.TipoArredondamento&lt;&gt;"TransfereGOV",
              ROUND(OFFSET($P49,0,AB$13),15-13*ORÇAMENTO!$AF$7)/$H49*OFFSET(ORÇAMENTO!$X$15,ROW(AB49)-ROW(AB$15),0),
              ROUND(ROUND(OFFSET($P49,0,AB$13),15-13*ORÇAMENTO!$AF$7)*OFFSET(ORÇAMENTO!$W$15,ROW(AB49)-ROW(AB$15),0),15-13*ORÇAMENTO!$AF$11)),
         0)</f>
        <v>0</v>
      </c>
      <c r="AC49" s="354" t="n">
        <f aca="true">IF(AND($D49="Serviço",AC$12&lt;&gt;0,$H49&gt;0,OR(AUTOEVENTO&lt;&gt;"manual",$M49&lt;&gt;$A$15)),
        IF(Import.TipoArredondamento&lt;&gt;"TransfereGOV",
              ROUND(OFFSET($P49,0,AC$13),15-13*ORÇAMENTO!$AF$7)/$H49*OFFSET(ORÇAMENTO!$X$15,ROW(AC49)-ROW(AC$15),0),
              ROUND(ROUND(OFFSET($P49,0,AC$13),15-13*ORÇAMENTO!$AF$7)*OFFSET(ORÇAMENTO!$W$15,ROW(AC49)-ROW(AC$15),0),15-13*ORÇAMENTO!$AF$11)),
         0)</f>
        <v>0</v>
      </c>
      <c r="AD49" s="354" t="n">
        <f aca="true">IF(AND($D49="Serviço",AD$12&lt;&gt;0,$H49&gt;0,OR(AUTOEVENTO&lt;&gt;"manual",$M49&lt;&gt;$A$15)),
        IF(Import.TipoArredondamento&lt;&gt;"TransfereGOV",
              ROUND(OFFSET($P49,0,AD$13),15-13*ORÇAMENTO!$AF$7)/$H49*OFFSET(ORÇAMENTO!$X$15,ROW(AD49)-ROW(AD$15),0),
              ROUND(ROUND(OFFSET($P49,0,AD$13),15-13*ORÇAMENTO!$AF$7)*OFFSET(ORÇAMENTO!$W$15,ROW(AD49)-ROW(AD$15),0),15-13*ORÇAMENTO!$AF$11)),
         0)</f>
        <v>0</v>
      </c>
      <c r="AE49" s="354" t="n">
        <f aca="true">IF(AND($D49="Serviço",AE$12&lt;&gt;0,$H49&gt;0,OR(AUTOEVENTO&lt;&gt;"manual",$M49&lt;&gt;$A$15)),
        IF(Import.TipoArredondamento&lt;&gt;"TransfereGOV",
              ROUND(OFFSET($P49,0,AE$13),15-13*ORÇAMENTO!$AF$7)/$H49*OFFSET(ORÇAMENTO!$X$15,ROW(AE49)-ROW(AE$15),0),
              ROUND(ROUND(OFFSET($P49,0,AE$13),15-13*ORÇAMENTO!$AF$7)*OFFSET(ORÇAMENTO!$W$15,ROW(AE49)-ROW(AE$15),0),15-13*ORÇAMENTO!$AF$11)),
         0)</f>
        <v>0</v>
      </c>
      <c r="AF49" s="354" t="n">
        <f aca="true">IF(AND($D49="Serviço",AF$12&lt;&gt;0,$H49&gt;0,OR(AUTOEVENTO&lt;&gt;"manual",$M49&lt;&gt;$A$15)),
        IF(Import.TipoArredondamento&lt;&gt;"TransfereGOV",
              ROUND(OFFSET($P49,0,AF$13),15-13*ORÇAMENTO!$AF$7)/$H49*OFFSET(ORÇAMENTO!$X$15,ROW(AF49)-ROW(AF$15),0),
              ROUND(ROUND(OFFSET($P49,0,AF$13),15-13*ORÇAMENTO!$AF$7)*OFFSET(ORÇAMENTO!$W$15,ROW(AF49)-ROW(AF$15),0),15-13*ORÇAMENTO!$AF$11)),
         0)</f>
        <v>0</v>
      </c>
      <c r="AG49" s="354" t="n">
        <f aca="true">IF(AND($D49="Serviço",AG$12&lt;&gt;0,$H49&gt;0,OR(AUTOEVENTO&lt;&gt;"manual",$M49&lt;&gt;$A$15)),
        IF(Import.TipoArredondamento&lt;&gt;"TransfereGOV",
              ROUND(OFFSET($P49,0,AG$13),15-13*ORÇAMENTO!$AF$7)/$H49*OFFSET(ORÇAMENTO!$X$15,ROW(AG49)-ROW(AG$15),0),
              ROUND(ROUND(OFFSET($P49,0,AG$13),15-13*ORÇAMENTO!$AF$7)*OFFSET(ORÇAMENTO!$W$15,ROW(AG49)-ROW(AG$15),0),15-13*ORÇAMENTO!$AF$11)),
         0)</f>
        <v>0</v>
      </c>
      <c r="AH49" s="354" t="n">
        <f aca="true">IF(AND($D49="Serviço",AH$12&lt;&gt;0,$H49&gt;0,OR(AUTOEVENTO&lt;&gt;"manual",$M49&lt;&gt;$A$15)),
        IF(Import.TipoArredondamento&lt;&gt;"TransfereGOV",
              ROUND(OFFSET($P49,0,AH$13),15-13*ORÇAMENTO!$AF$7)/$H49*OFFSET(ORÇAMENTO!$X$15,ROW(AH49)-ROW(AH$15),0),
              ROUND(ROUND(OFFSET($P49,0,AH$13),15-13*ORÇAMENTO!$AF$7)*OFFSET(ORÇAMENTO!$W$15,ROW(AH49)-ROW(AH$15),0),15-13*ORÇAMENTO!$AF$11)),
         0)</f>
        <v>0</v>
      </c>
      <c r="AI49" s="354" t="n">
        <f aca="true">IF(AND($D49="Serviço",AI$12&lt;&gt;0,$H49&gt;0,OR(AUTOEVENTO&lt;&gt;"manual",$M49&lt;&gt;$A$15)),
        IF(Import.TipoArredondamento&lt;&gt;"TransfereGOV",
              ROUND(OFFSET($P49,0,AI$13),15-13*ORÇAMENTO!$AF$7)/$H49*OFFSET(ORÇAMENTO!$X$15,ROW(AI49)-ROW(AI$15),0),
              ROUND(ROUND(OFFSET($P49,0,AI$13),15-13*ORÇAMENTO!$AF$7)*OFFSET(ORÇAMENTO!$W$15,ROW(AI49)-ROW(AI$15),0),15-13*ORÇAMENTO!$AF$11)),
         0)</f>
        <v>0</v>
      </c>
      <c r="AJ49" s="354" t="n">
        <f aca="true">IF(AND($D49="Serviço",AJ$12&lt;&gt;0,$H49&gt;0,OR(AUTOEVENTO&lt;&gt;"manual",$M49&lt;&gt;$A$15)),
        IF(Import.TipoArredondamento&lt;&gt;"TransfereGOV",
              ROUND(OFFSET($P49,0,AJ$13),15-13*ORÇAMENTO!$AF$7)/$H49*OFFSET(ORÇAMENTO!$X$15,ROW(AJ49)-ROW(AJ$15),0),
              ROUND(ROUND(OFFSET($P49,0,AJ$13),15-13*ORÇAMENTO!$AF$7)*OFFSET(ORÇAMENTO!$W$15,ROW(AJ49)-ROW(AJ$15),0),15-13*ORÇAMENTO!$AF$11)),
         0)</f>
        <v>0</v>
      </c>
      <c r="AK49" s="354" t="n">
        <f aca="true">IF(AND($D49="Serviço",AK$12&lt;&gt;0,$H49&gt;0,OR(AUTOEVENTO&lt;&gt;"manual",$M49&lt;&gt;$A$15)),
        IF(Import.TipoArredondamento&lt;&gt;"TransfereGOV",
              ROUND(OFFSET($P49,0,AK$13),15-13*ORÇAMENTO!$AF$7)/$H49*OFFSET(ORÇAMENTO!$X$15,ROW(AK49)-ROW(AK$15),0),
              ROUND(ROUND(OFFSET($P49,0,AK$13),15-13*ORÇAMENTO!$AF$7)*OFFSET(ORÇAMENTO!$W$15,ROW(AK49)-ROW(AK$15),0),15-13*ORÇAMENTO!$AF$11)),
         0)</f>
        <v>0</v>
      </c>
      <c r="AM49" s="355" t="n">
        <f aca="true">IF(OR($D49&lt;&gt;"Serviço",AND(AUTOEVENTO="Manual",$M49=$A$15)),0,
         IF(OFFSET(CRONOPLE!$F$15,$M49-$A$15,AM$13)=0,10^12,OFFSET(CRONOPLE!$F$15,$M49-$A$15,AM$13)))</f>
        <v>0</v>
      </c>
      <c r="AN49" s="355" t="n">
        <f aca="true">IF(OR($D49&lt;&gt;"Serviço",AND(AUTOEVENTO="Manual",$M49=$A$15)),0,
         IF(OFFSET(CRONOPLE!$F$15,$M49-$A$15,AN$13)=0,10^12,OFFSET(CRONOPLE!$F$15,$M49-$A$15,AN$13)))</f>
        <v>0</v>
      </c>
      <c r="AO49" s="355" t="n">
        <f aca="true">IF(OR($D49&lt;&gt;"Serviço",AND(AUTOEVENTO="Manual",$M49=$A$15)),0,
         IF(OFFSET(CRONOPLE!$F$15,$M49-$A$15,AO$13)=0,10^12,OFFSET(CRONOPLE!$F$15,$M49-$A$15,AO$13)))</f>
        <v>0</v>
      </c>
      <c r="AP49" s="355" t="n">
        <f aca="true">IF(OR($D49&lt;&gt;"Serviço",AND(AUTOEVENTO="Manual",$M49=$A$15)),0,
         IF(OFFSET(CRONOPLE!$F$15,$M49-$A$15,AP$13)=0,10^12,OFFSET(CRONOPLE!$F$15,$M49-$A$15,AP$13)))</f>
        <v>0</v>
      </c>
      <c r="AQ49" s="355" t="n">
        <f aca="true">IF(OR($D49&lt;&gt;"Serviço",AND(AUTOEVENTO="Manual",$M49=$A$15)),0,
         IF(OFFSET(CRONOPLE!$F$15,$M49-$A$15,AQ$13)=0,10^12,OFFSET(CRONOPLE!$F$15,$M49-$A$15,AQ$13)))</f>
        <v>0</v>
      </c>
      <c r="AR49" s="355" t="n">
        <f aca="true">IF(OR($D49&lt;&gt;"Serviço",AND(AUTOEVENTO="Manual",$M49=$A$15)),0,
         IF(OFFSET(CRONOPLE!$F$15,$M49-$A$15,AR$13)=0,10^12,OFFSET(CRONOPLE!$F$15,$M49-$A$15,AR$13)))</f>
        <v>0</v>
      </c>
      <c r="AS49" s="355" t="n">
        <f aca="true">IF(OR($D49&lt;&gt;"Serviço",AND(AUTOEVENTO="Manual",$M49=$A$15)),0,
         IF(OFFSET(CRONOPLE!$F$15,$M49-$A$15,AS$13)=0,10^12,OFFSET(CRONOPLE!$F$15,$M49-$A$15,AS$13)))</f>
        <v>0</v>
      </c>
      <c r="AT49" s="355" t="n">
        <f aca="true">IF(OR($D49&lt;&gt;"Serviço",AND(AUTOEVENTO="Manual",$M49=$A$15)),0,
         IF(OFFSET(CRONOPLE!$F$15,$M49-$A$15,AT$13)=0,10^12,OFFSET(CRONOPLE!$F$15,$M49-$A$15,AT$13)))</f>
        <v>0</v>
      </c>
      <c r="AU49" s="355" t="n">
        <f aca="true">IF(OR($D49&lt;&gt;"Serviço",AND(AUTOEVENTO="Manual",$M49=$A$15)),0,
         IF(OFFSET(CRONOPLE!$F$15,$M49-$A$15,AU$13)=0,10^12,OFFSET(CRONOPLE!$F$15,$M49-$A$15,AU$13)))</f>
        <v>0</v>
      </c>
      <c r="AV49" s="355" t="n">
        <f aca="true">IF(OR($D49&lt;&gt;"Serviço",AND(AUTOEVENTO="Manual",$M49=$A$15)),0,
         IF(OFFSET(CRONOPLE!$F$15,$M49-$A$15,AV$13)=0,10^12,OFFSET(CRONOPLE!$F$15,$M49-$A$15,AV$13)))</f>
        <v>0</v>
      </c>
      <c r="AX49" s="356" t="n">
        <f aca="true" t="array" ref="AX49:AX49">IF(OR($D49&lt;&gt;"Serviço",AND(AUTOEVENTO="Manual",$M49=$A$15),$M49&gt;(ROW(PLE.lastrow)-ROW(PLE.firstrow))),0,
           IF(OFFSET(PLE!$G$15,$M49-$A$15,AX$13)="",10^12,OFFSET(PLE!$G$15,$M49-$A$15,AX$13)))</f>
        <v>0</v>
      </c>
      <c r="AY49" s="356" t="n">
        <f aca="true" t="array" ref="AY49:AY49">IF(OR($D49&lt;&gt;"Serviço",AND(AUTOEVENTO="Manual",$M49=$A$15),$M49&gt;(ROW(PLE.lastrow)-ROW(PLE.firstrow))),0,
           IF(OFFSET(PLE!$G$15,$M49-$A$15,AY$13)="",10^12,OFFSET(PLE!$G$15,$M49-$A$15,AY$13)))</f>
        <v>0</v>
      </c>
      <c r="AZ49" s="356" t="n">
        <f aca="true" t="array" ref="AZ49:AZ49">IF(OR($D49&lt;&gt;"Serviço",AND(AUTOEVENTO="Manual",$M49=$A$15),$M49&gt;(ROW(PLE.lastrow)-ROW(PLE.firstrow))),0,
           IF(OFFSET(PLE!$G$15,$M49-$A$15,AZ$13)="",10^12,OFFSET(PLE!$G$15,$M49-$A$15,AZ$13)))</f>
        <v>0</v>
      </c>
      <c r="BA49" s="356" t="n">
        <f aca="true" t="array" ref="BA49:BA49">IF(OR($D49&lt;&gt;"Serviço",AND(AUTOEVENTO="Manual",$M49=$A$15),$M49&gt;(ROW(PLE.lastrow)-ROW(PLE.firstrow))),0,
           IF(OFFSET(PLE!$G$15,$M49-$A$15,BA$13)="",10^12,OFFSET(PLE!$G$15,$M49-$A$15,BA$13)))</f>
        <v>0</v>
      </c>
      <c r="BB49" s="356" t="n">
        <f aca="true" t="array" ref="BB49:BB49">IF(OR($D49&lt;&gt;"Serviço",AND(AUTOEVENTO="Manual",$M49=$A$15),$M49&gt;(ROW(PLE.lastrow)-ROW(PLE.firstrow))),0,
           IF(OFFSET(PLE!$G$15,$M49-$A$15,BB$13)="",10^12,OFFSET(PLE!$G$15,$M49-$A$15,BB$13)))</f>
        <v>0</v>
      </c>
      <c r="BC49" s="356" t="n">
        <f aca="true" t="array" ref="BC49:BC49">IF(OR($D49&lt;&gt;"Serviço",AND(AUTOEVENTO="Manual",$M49=$A$15),$M49&gt;(ROW(PLE.lastrow)-ROW(PLE.firstrow))),0,
           IF(OFFSET(PLE!$G$15,$M49-$A$15,BC$13)="",10^12,OFFSET(PLE!$G$15,$M49-$A$15,BC$13)))</f>
        <v>0</v>
      </c>
      <c r="BD49" s="356" t="n">
        <f aca="true" t="array" ref="BD49:BD49">IF(OR($D49&lt;&gt;"Serviço",AND(AUTOEVENTO="Manual",$M49=$A$15),$M49&gt;(ROW(PLE.lastrow)-ROW(PLE.firstrow))),0,
           IF(OFFSET(PLE!$G$15,$M49-$A$15,BD$13)="",10^12,OFFSET(PLE!$G$15,$M49-$A$15,BD$13)))</f>
        <v>0</v>
      </c>
      <c r="BE49" s="356" t="n">
        <f aca="true" t="array" ref="BE49:BE49">IF(OR($D49&lt;&gt;"Serviço",AND(AUTOEVENTO="Manual",$M49=$A$15),$M49&gt;(ROW(PLE.lastrow)-ROW(PLE.firstrow))),0,
           IF(OFFSET(PLE!$G$15,$M49-$A$15,BE$13)="",10^12,OFFSET(PLE!$G$15,$M49-$A$15,BE$13)))</f>
        <v>0</v>
      </c>
      <c r="BF49" s="356" t="n">
        <f aca="true" t="array" ref="BF49:BF49">IF(OR($D49&lt;&gt;"Serviço",AND(AUTOEVENTO="Manual",$M49=$A$15),$M49&gt;(ROW(PLE.lastrow)-ROW(PLE.firstrow))),0,
           IF(OFFSET(PLE!$G$15,$M49-$A$15,BF$13)="",10^12,OFFSET(PLE!$G$15,$M49-$A$15,BF$13)))</f>
        <v>0</v>
      </c>
      <c r="BG49" s="356" t="n">
        <f aca="true" t="array" ref="BG49:BG49">IF(OR($D49&lt;&gt;"Serviço",AND(AUTOEVENTO="Manual",$M49=$A$15),$M49&gt;(ROW(PLE.lastrow)-ROW(PLE.firstrow))),0,
           IF(OFFSET(PLE!$G$15,$M49-$A$15,BG$13)="",10^12,OFFSET(PLE!$G$15,$M49-$A$15,BG$13)))</f>
        <v>0</v>
      </c>
    </row>
    <row r="50" customFormat="false" ht="35.05" hidden="false" customHeight="false" outlineLevel="0" collapsed="false">
      <c r="A50" s="48" t="str">
        <f aca="true">IFERROR(IF(AUTOEVENTO="Manual",IF(K50&lt;&gt;"",MIN(VALUE(LEFT(K50,FIND(".",K50)-1)),COUNTA(EVENTOS.Lista)),0),IF(OR($B50&gt;AUTOEVENTO,$B50="S",$B50=0),SUBSTITUTE(OFFSET($A50,-1,0),IF($D50="Serviço",".",""),""),$L50&amp;".")),0)</f>
        <v>34</v>
      </c>
      <c r="B50" s="48" t="str">
        <f aca="true">OFFSET(ORÇAMENTO!C$15,$L50,0)</f>
        <v>S</v>
      </c>
      <c r="C50" s="48" t="str">
        <f aca="true">OFFSET(ORÇAMENTO!L$15,$L50,0)</f>
        <v/>
      </c>
      <c r="D50" s="206" t="str">
        <f aca="true">OFFSET(ORÇAMENTO!N$15,$L50,0)</f>
        <v>Serviço</v>
      </c>
      <c r="E50" s="207" t="str">
        <f aca="true">OFFSET(ORÇAMENTO!O$15,$L50,0)</f>
        <v>-</v>
      </c>
      <c r="F50" s="343" t="str">
        <f aca="true">OFFSET(ORÇAMENTO!R$15,$L50,0)</f>
        <v>(Código não identificado nas referências)</v>
      </c>
      <c r="G50" s="344" t="str">
        <f aca="true">IF($D50&lt;&gt;"Serviço","",OFFSET(ORÇAMENTO!S$15,$L50,0))</f>
        <v>-</v>
      </c>
      <c r="H50" s="212" t="n">
        <f aca="true" t="array" ref="H50:H50">IF($D50&lt;&gt;"Serviço",0,IF(ACOMPANHAMENTO="BM",ROUND(OFFSET(ORÇAMENTO!AJ$15,$L50,0),15-13*ORÇAMENTO!$AF$7),IF(IFERROR(CÁLCULO.FrentesPreenchidas,0)=0,0,SUM(ROUND(OFFSET($P50,0,1,1,CÁLCULO.FrentesPreenchidas),15-13*ORÇAMENTO!$AF$7)))))</f>
        <v>125</v>
      </c>
      <c r="I50" s="345" t="s">
        <v>911</v>
      </c>
      <c r="J50" s="346" t="str">
        <f aca="false" t="array" ref="J50:J50">IF(OR(B50&lt;&gt;"S",CÁLCULO.FrentesPreenchidas=0),"",IF(AND(ACOMPANHAMENTO="PLE",AUTOEVENTO="Manual",OR(H50&gt;0,ORÇAMENTO!AC50="QUANT."),OR(K50="",M50=0,N50="")),"►E",IF(AND(ACOMPANHAMENTO="PLE",ORÇAMENTO!AC50="QUANT."),"►Q",IF(AND(ACOMPANHAMENTO="PLE",H50&lt;&gt;SUMPRODUCT(($Q$1:$AA$1=1)*ROUND(Q50:AA50,15))),"►S",IF(AND(COUNTIF($P$11:$AA$11,"▼")=0,H50&gt;0,I50=""),"◄M","")))))</f>
        <v/>
      </c>
      <c r="K50" s="347"/>
      <c r="L50" s="348" t="n">
        <f aca="true">OFFSET(L50,-1,0)+1</f>
        <v>35</v>
      </c>
      <c r="M50" s="349" t="n">
        <f aca="true">IF($D50&lt;&gt;"Serviço","",
          IF(AUTOEVENTO="manual",$A50,
                IF(ISERROR(MATCH($A50,$A$15:OFFSET($A50,-1,0),0)),MAX($M$15:OFFSET(M50,-1,0))+1,
                      INDEX($M$15:OFFSET(M50,-1,0),MATCH($A50,$A$15:OFFSET($A50,-1,0),0)))))</f>
        <v>9</v>
      </c>
      <c r="N50" s="350" t="str">
        <f aca="true">IF($D50&lt;&gt;"Serviço","",
         IF(AUTOEVENTO="Manual",
                IF($A50=0,"&lt;-- defina o número do agrupador",
                       OFFSET(EVENTOS!$D$15,$A50-$A$15,0)),
                OFFSET($F$15,$A50,0)))</f>
        <v>PINTURA</v>
      </c>
      <c r="O50" s="351"/>
      <c r="Q50" s="351"/>
      <c r="R50" s="352"/>
      <c r="S50" s="352"/>
      <c r="T50" s="352"/>
      <c r="U50" s="352"/>
      <c r="V50" s="352"/>
      <c r="W50" s="352"/>
      <c r="X50" s="352"/>
      <c r="Y50" s="352"/>
      <c r="Z50" s="353"/>
      <c r="AB50" s="354" t="n">
        <f aca="true">IF(AND($D50="Serviço",AB$12&lt;&gt;0,$H50&gt;0,OR(AUTOEVENTO&lt;&gt;"manual",$M50&lt;&gt;$A$15)),
        IF(Import.TipoArredondamento&lt;&gt;"TransfereGOV",
              ROUND(OFFSET($P50,0,AB$13),15-13*ORÇAMENTO!$AF$7)/$H50*OFFSET(ORÇAMENTO!$X$15,ROW(AB50)-ROW(AB$15),0),
              ROUND(ROUND(OFFSET($P50,0,AB$13),15-13*ORÇAMENTO!$AF$7)*OFFSET(ORÇAMENTO!$W$15,ROW(AB50)-ROW(AB$15),0),15-13*ORÇAMENTO!$AF$11)),
         0)</f>
        <v>0</v>
      </c>
      <c r="AC50" s="354" t="n">
        <f aca="true">IF(AND($D50="Serviço",AC$12&lt;&gt;0,$H50&gt;0,OR(AUTOEVENTO&lt;&gt;"manual",$M50&lt;&gt;$A$15)),
        IF(Import.TipoArredondamento&lt;&gt;"TransfereGOV",
              ROUND(OFFSET($P50,0,AC$13),15-13*ORÇAMENTO!$AF$7)/$H50*OFFSET(ORÇAMENTO!$X$15,ROW(AC50)-ROW(AC$15),0),
              ROUND(ROUND(OFFSET($P50,0,AC$13),15-13*ORÇAMENTO!$AF$7)*OFFSET(ORÇAMENTO!$W$15,ROW(AC50)-ROW(AC$15),0),15-13*ORÇAMENTO!$AF$11)),
         0)</f>
        <v>0</v>
      </c>
      <c r="AD50" s="354" t="n">
        <f aca="true">IF(AND($D50="Serviço",AD$12&lt;&gt;0,$H50&gt;0,OR(AUTOEVENTO&lt;&gt;"manual",$M50&lt;&gt;$A$15)),
        IF(Import.TipoArredondamento&lt;&gt;"TransfereGOV",
              ROUND(OFFSET($P50,0,AD$13),15-13*ORÇAMENTO!$AF$7)/$H50*OFFSET(ORÇAMENTO!$X$15,ROW(AD50)-ROW(AD$15),0),
              ROUND(ROUND(OFFSET($P50,0,AD$13),15-13*ORÇAMENTO!$AF$7)*OFFSET(ORÇAMENTO!$W$15,ROW(AD50)-ROW(AD$15),0),15-13*ORÇAMENTO!$AF$11)),
         0)</f>
        <v>0</v>
      </c>
      <c r="AE50" s="354" t="n">
        <f aca="true">IF(AND($D50="Serviço",AE$12&lt;&gt;0,$H50&gt;0,OR(AUTOEVENTO&lt;&gt;"manual",$M50&lt;&gt;$A$15)),
        IF(Import.TipoArredondamento&lt;&gt;"TransfereGOV",
              ROUND(OFFSET($P50,0,AE$13),15-13*ORÇAMENTO!$AF$7)/$H50*OFFSET(ORÇAMENTO!$X$15,ROW(AE50)-ROW(AE$15),0),
              ROUND(ROUND(OFFSET($P50,0,AE$13),15-13*ORÇAMENTO!$AF$7)*OFFSET(ORÇAMENTO!$W$15,ROW(AE50)-ROW(AE$15),0),15-13*ORÇAMENTO!$AF$11)),
         0)</f>
        <v>0</v>
      </c>
      <c r="AF50" s="354" t="n">
        <f aca="true">IF(AND($D50="Serviço",AF$12&lt;&gt;0,$H50&gt;0,OR(AUTOEVENTO&lt;&gt;"manual",$M50&lt;&gt;$A$15)),
        IF(Import.TipoArredondamento&lt;&gt;"TransfereGOV",
              ROUND(OFFSET($P50,0,AF$13),15-13*ORÇAMENTO!$AF$7)/$H50*OFFSET(ORÇAMENTO!$X$15,ROW(AF50)-ROW(AF$15),0),
              ROUND(ROUND(OFFSET($P50,0,AF$13),15-13*ORÇAMENTO!$AF$7)*OFFSET(ORÇAMENTO!$W$15,ROW(AF50)-ROW(AF$15),0),15-13*ORÇAMENTO!$AF$11)),
         0)</f>
        <v>0</v>
      </c>
      <c r="AG50" s="354" t="n">
        <f aca="true">IF(AND($D50="Serviço",AG$12&lt;&gt;0,$H50&gt;0,OR(AUTOEVENTO&lt;&gt;"manual",$M50&lt;&gt;$A$15)),
        IF(Import.TipoArredondamento&lt;&gt;"TransfereGOV",
              ROUND(OFFSET($P50,0,AG$13),15-13*ORÇAMENTO!$AF$7)/$H50*OFFSET(ORÇAMENTO!$X$15,ROW(AG50)-ROW(AG$15),0),
              ROUND(ROUND(OFFSET($P50,0,AG$13),15-13*ORÇAMENTO!$AF$7)*OFFSET(ORÇAMENTO!$W$15,ROW(AG50)-ROW(AG$15),0),15-13*ORÇAMENTO!$AF$11)),
         0)</f>
        <v>0</v>
      </c>
      <c r="AH50" s="354" t="n">
        <f aca="true">IF(AND($D50="Serviço",AH$12&lt;&gt;0,$H50&gt;0,OR(AUTOEVENTO&lt;&gt;"manual",$M50&lt;&gt;$A$15)),
        IF(Import.TipoArredondamento&lt;&gt;"TransfereGOV",
              ROUND(OFFSET($P50,0,AH$13),15-13*ORÇAMENTO!$AF$7)/$H50*OFFSET(ORÇAMENTO!$X$15,ROW(AH50)-ROW(AH$15),0),
              ROUND(ROUND(OFFSET($P50,0,AH$13),15-13*ORÇAMENTO!$AF$7)*OFFSET(ORÇAMENTO!$W$15,ROW(AH50)-ROW(AH$15),0),15-13*ORÇAMENTO!$AF$11)),
         0)</f>
        <v>0</v>
      </c>
      <c r="AI50" s="354" t="n">
        <f aca="true">IF(AND($D50="Serviço",AI$12&lt;&gt;0,$H50&gt;0,OR(AUTOEVENTO&lt;&gt;"manual",$M50&lt;&gt;$A$15)),
        IF(Import.TipoArredondamento&lt;&gt;"TransfereGOV",
              ROUND(OFFSET($P50,0,AI$13),15-13*ORÇAMENTO!$AF$7)/$H50*OFFSET(ORÇAMENTO!$X$15,ROW(AI50)-ROW(AI$15),0),
              ROUND(ROUND(OFFSET($P50,0,AI$13),15-13*ORÇAMENTO!$AF$7)*OFFSET(ORÇAMENTO!$W$15,ROW(AI50)-ROW(AI$15),0),15-13*ORÇAMENTO!$AF$11)),
         0)</f>
        <v>0</v>
      </c>
      <c r="AJ50" s="354" t="n">
        <f aca="true">IF(AND($D50="Serviço",AJ$12&lt;&gt;0,$H50&gt;0,OR(AUTOEVENTO&lt;&gt;"manual",$M50&lt;&gt;$A$15)),
        IF(Import.TipoArredondamento&lt;&gt;"TransfereGOV",
              ROUND(OFFSET($P50,0,AJ$13),15-13*ORÇAMENTO!$AF$7)/$H50*OFFSET(ORÇAMENTO!$X$15,ROW(AJ50)-ROW(AJ$15),0),
              ROUND(ROUND(OFFSET($P50,0,AJ$13),15-13*ORÇAMENTO!$AF$7)*OFFSET(ORÇAMENTO!$W$15,ROW(AJ50)-ROW(AJ$15),0),15-13*ORÇAMENTO!$AF$11)),
         0)</f>
        <v>0</v>
      </c>
      <c r="AK50" s="354" t="n">
        <f aca="true">IF(AND($D50="Serviço",AK$12&lt;&gt;0,$H50&gt;0,OR(AUTOEVENTO&lt;&gt;"manual",$M50&lt;&gt;$A$15)),
        IF(Import.TipoArredondamento&lt;&gt;"TransfereGOV",
              ROUND(OFFSET($P50,0,AK$13),15-13*ORÇAMENTO!$AF$7)/$H50*OFFSET(ORÇAMENTO!$X$15,ROW(AK50)-ROW(AK$15),0),
              ROUND(ROUND(OFFSET($P50,0,AK$13),15-13*ORÇAMENTO!$AF$7)*OFFSET(ORÇAMENTO!$W$15,ROW(AK50)-ROW(AK$15),0),15-13*ORÇAMENTO!$AF$11)),
         0)</f>
        <v>0</v>
      </c>
      <c r="AM50" s="355" t="n">
        <f aca="true">IF(OR($D50&lt;&gt;"Serviço",AND(AUTOEVENTO="Manual",$M50=$A$15)),0,
         IF(OFFSET(CRONOPLE!$F$15,$M50-$A$15,AM$13)=0,10^12,OFFSET(CRONOPLE!$F$15,$M50-$A$15,AM$13)))</f>
        <v>1000000000000</v>
      </c>
      <c r="AN50" s="355" t="n">
        <f aca="true">IF(OR($D50&lt;&gt;"Serviço",AND(AUTOEVENTO="Manual",$M50=$A$15)),0,
         IF(OFFSET(CRONOPLE!$F$15,$M50-$A$15,AN$13)=0,10^12,OFFSET(CRONOPLE!$F$15,$M50-$A$15,AN$13)))</f>
        <v>1000000000000</v>
      </c>
      <c r="AO50" s="355" t="n">
        <f aca="true">IF(OR($D50&lt;&gt;"Serviço",AND(AUTOEVENTO="Manual",$M50=$A$15)),0,
         IF(OFFSET(CRONOPLE!$F$15,$M50-$A$15,AO$13)=0,10^12,OFFSET(CRONOPLE!$F$15,$M50-$A$15,AO$13)))</f>
        <v>1000000000000</v>
      </c>
      <c r="AP50" s="355" t="n">
        <f aca="true">IF(OR($D50&lt;&gt;"Serviço",AND(AUTOEVENTO="Manual",$M50=$A$15)),0,
         IF(OFFSET(CRONOPLE!$F$15,$M50-$A$15,AP$13)=0,10^12,OFFSET(CRONOPLE!$F$15,$M50-$A$15,AP$13)))</f>
        <v>1000000000000</v>
      </c>
      <c r="AQ50" s="355" t="n">
        <f aca="true">IF(OR($D50&lt;&gt;"Serviço",AND(AUTOEVENTO="Manual",$M50=$A$15)),0,
         IF(OFFSET(CRONOPLE!$F$15,$M50-$A$15,AQ$13)=0,10^12,OFFSET(CRONOPLE!$F$15,$M50-$A$15,AQ$13)))</f>
        <v>1000000000000</v>
      </c>
      <c r="AR50" s="355" t="n">
        <f aca="true">IF(OR($D50&lt;&gt;"Serviço",AND(AUTOEVENTO="Manual",$M50=$A$15)),0,
         IF(OFFSET(CRONOPLE!$F$15,$M50-$A$15,AR$13)=0,10^12,OFFSET(CRONOPLE!$F$15,$M50-$A$15,AR$13)))</f>
        <v>1000000000000</v>
      </c>
      <c r="AS50" s="355" t="n">
        <f aca="true">IF(OR($D50&lt;&gt;"Serviço",AND(AUTOEVENTO="Manual",$M50=$A$15)),0,
         IF(OFFSET(CRONOPLE!$F$15,$M50-$A$15,AS$13)=0,10^12,OFFSET(CRONOPLE!$F$15,$M50-$A$15,AS$13)))</f>
        <v>1000000000000</v>
      </c>
      <c r="AT50" s="355" t="n">
        <f aca="true">IF(OR($D50&lt;&gt;"Serviço",AND(AUTOEVENTO="Manual",$M50=$A$15)),0,
         IF(OFFSET(CRONOPLE!$F$15,$M50-$A$15,AT$13)=0,10^12,OFFSET(CRONOPLE!$F$15,$M50-$A$15,AT$13)))</f>
        <v>1000000000000</v>
      </c>
      <c r="AU50" s="355" t="n">
        <f aca="true">IF(OR($D50&lt;&gt;"Serviço",AND(AUTOEVENTO="Manual",$M50=$A$15)),0,
         IF(OFFSET(CRONOPLE!$F$15,$M50-$A$15,AU$13)=0,10^12,OFFSET(CRONOPLE!$F$15,$M50-$A$15,AU$13)))</f>
        <v>1000000000000</v>
      </c>
      <c r="AV50" s="355" t="n">
        <f aca="true">IF(OR($D50&lt;&gt;"Serviço",AND(AUTOEVENTO="Manual",$M50=$A$15)),0,
         IF(OFFSET(CRONOPLE!$F$15,$M50-$A$15,AV$13)=0,10^12,OFFSET(CRONOPLE!$F$15,$M50-$A$15,AV$13)))</f>
        <v>1000000000000</v>
      </c>
      <c r="AX50" s="356" t="n">
        <f aca="true" t="array" ref="AX50:AX50">IF(OR($D50&lt;&gt;"Serviço",AND(AUTOEVENTO="Manual",$M50=$A$15),$M50&gt;(ROW(PLE.lastrow)-ROW(PLE.firstrow))),0,
           IF(OFFSET(PLE!$G$15,$M50-$A$15,AX$13)="",10^12,OFFSET(PLE!$G$15,$M50-$A$15,AX$13)))</f>
        <v>1000000000000</v>
      </c>
      <c r="AY50" s="356" t="n">
        <f aca="true" t="array" ref="AY50:AY50">IF(OR($D50&lt;&gt;"Serviço",AND(AUTOEVENTO="Manual",$M50=$A$15),$M50&gt;(ROW(PLE.lastrow)-ROW(PLE.firstrow))),0,
           IF(OFFSET(PLE!$G$15,$M50-$A$15,AY$13)="",10^12,OFFSET(PLE!$G$15,$M50-$A$15,AY$13)))</f>
        <v>1000000000000</v>
      </c>
      <c r="AZ50" s="356" t="n">
        <f aca="true" t="array" ref="AZ50:AZ50">IF(OR($D50&lt;&gt;"Serviço",AND(AUTOEVENTO="Manual",$M50=$A$15),$M50&gt;(ROW(PLE.lastrow)-ROW(PLE.firstrow))),0,
           IF(OFFSET(PLE!$G$15,$M50-$A$15,AZ$13)="",10^12,OFFSET(PLE!$G$15,$M50-$A$15,AZ$13)))</f>
        <v>1000000000000</v>
      </c>
      <c r="BA50" s="356" t="n">
        <f aca="true" t="array" ref="BA50:BA50">IF(OR($D50&lt;&gt;"Serviço",AND(AUTOEVENTO="Manual",$M50=$A$15),$M50&gt;(ROW(PLE.lastrow)-ROW(PLE.firstrow))),0,
           IF(OFFSET(PLE!$G$15,$M50-$A$15,BA$13)="",10^12,OFFSET(PLE!$G$15,$M50-$A$15,BA$13)))</f>
        <v>1000000000000</v>
      </c>
      <c r="BB50" s="356" t="n">
        <f aca="true" t="array" ref="BB50:BB50">IF(OR($D50&lt;&gt;"Serviço",AND(AUTOEVENTO="Manual",$M50=$A$15),$M50&gt;(ROW(PLE.lastrow)-ROW(PLE.firstrow))),0,
           IF(OFFSET(PLE!$G$15,$M50-$A$15,BB$13)="",10^12,OFFSET(PLE!$G$15,$M50-$A$15,BB$13)))</f>
        <v>1000000000000</v>
      </c>
      <c r="BC50" s="356" t="n">
        <f aca="true" t="array" ref="BC50:BC50">IF(OR($D50&lt;&gt;"Serviço",AND(AUTOEVENTO="Manual",$M50=$A$15),$M50&gt;(ROW(PLE.lastrow)-ROW(PLE.firstrow))),0,
           IF(OFFSET(PLE!$G$15,$M50-$A$15,BC$13)="",10^12,OFFSET(PLE!$G$15,$M50-$A$15,BC$13)))</f>
        <v>1000000000000</v>
      </c>
      <c r="BD50" s="356" t="n">
        <f aca="true" t="array" ref="BD50:BD50">IF(OR($D50&lt;&gt;"Serviço",AND(AUTOEVENTO="Manual",$M50=$A$15),$M50&gt;(ROW(PLE.lastrow)-ROW(PLE.firstrow))),0,
           IF(OFFSET(PLE!$G$15,$M50-$A$15,BD$13)="",10^12,OFFSET(PLE!$G$15,$M50-$A$15,BD$13)))</f>
        <v>1000000000000</v>
      </c>
      <c r="BE50" s="356" t="n">
        <f aca="true" t="array" ref="BE50:BE50">IF(OR($D50&lt;&gt;"Serviço",AND(AUTOEVENTO="Manual",$M50=$A$15),$M50&gt;(ROW(PLE.lastrow)-ROW(PLE.firstrow))),0,
           IF(OFFSET(PLE!$G$15,$M50-$A$15,BE$13)="",10^12,OFFSET(PLE!$G$15,$M50-$A$15,BE$13)))</f>
        <v>1000000000000</v>
      </c>
      <c r="BF50" s="356" t="n">
        <f aca="true" t="array" ref="BF50:BF50">IF(OR($D50&lt;&gt;"Serviço",AND(AUTOEVENTO="Manual",$M50=$A$15),$M50&gt;(ROW(PLE.lastrow)-ROW(PLE.firstrow))),0,
           IF(OFFSET(PLE!$G$15,$M50-$A$15,BF$13)="",10^12,OFFSET(PLE!$G$15,$M50-$A$15,BF$13)))</f>
        <v>1000000000000</v>
      </c>
      <c r="BG50" s="356" t="n">
        <f aca="true" t="array" ref="BG50:BG50">IF(OR($D50&lt;&gt;"Serviço",AND(AUTOEVENTO="Manual",$M50=$A$15),$M50&gt;(ROW(PLE.lastrow)-ROW(PLE.firstrow))),0,
           IF(OFFSET(PLE!$G$15,$M50-$A$15,BG$13)="",10^12,OFFSET(PLE!$G$15,$M50-$A$15,BG$13)))</f>
        <v>1000000000000</v>
      </c>
    </row>
    <row r="51" customFormat="false" ht="35.05" hidden="false" customHeight="false" outlineLevel="0" collapsed="false">
      <c r="A51" s="48" t="str">
        <f aca="true">IFERROR(IF(AUTOEVENTO="Manual",IF(K51&lt;&gt;"",MIN(VALUE(LEFT(K51,FIND(".",K51)-1)),COUNTA(EVENTOS.Lista)),0),IF(OR($B51&gt;AUTOEVENTO,$B51="S",$B51=0),SUBSTITUTE(OFFSET($A51,-1,0),IF($D51="Serviço",".",""),""),$L51&amp;".")),0)</f>
        <v>34</v>
      </c>
      <c r="B51" s="48" t="str">
        <f aca="true">OFFSET(ORÇAMENTO!C$15,$L51,0)</f>
        <v>S</v>
      </c>
      <c r="C51" s="48" t="str">
        <f aca="true">OFFSET(ORÇAMENTO!L$15,$L51,0)</f>
        <v/>
      </c>
      <c r="D51" s="206" t="str">
        <f aca="true">OFFSET(ORÇAMENTO!N$15,$L51,0)</f>
        <v>Serviço</v>
      </c>
      <c r="E51" s="207" t="str">
        <f aca="true">OFFSET(ORÇAMENTO!O$15,$L51,0)</f>
        <v>-</v>
      </c>
      <c r="F51" s="343" t="str">
        <f aca="true">OFFSET(ORÇAMENTO!R$15,$L51,0)</f>
        <v>(Código não identificado nas referências)</v>
      </c>
      <c r="G51" s="344" t="str">
        <f aca="true">IF($D51&lt;&gt;"Serviço","",OFFSET(ORÇAMENTO!S$15,$L51,0))</f>
        <v>-</v>
      </c>
      <c r="H51" s="212" t="n">
        <f aca="true" t="array" ref="H51:H51">IF($D51&lt;&gt;"Serviço",0,IF(ACOMPANHAMENTO="BM",ROUND(OFFSET(ORÇAMENTO!AJ$15,$L51,0),15-13*ORÇAMENTO!$AF$7),IF(IFERROR(CÁLCULO.FrentesPreenchidas,0)=0,0,SUM(ROUND(OFFSET($P51,0,1,1,CÁLCULO.FrentesPreenchidas),15-13*ORÇAMENTO!$AF$7)))))</f>
        <v>300</v>
      </c>
      <c r="I51" s="345" t="s">
        <v>912</v>
      </c>
      <c r="J51" s="346" t="str">
        <f aca="false" t="array" ref="J51:J51">IF(OR(B51&lt;&gt;"S",CÁLCULO.FrentesPreenchidas=0),"",IF(AND(ACOMPANHAMENTO="PLE",AUTOEVENTO="Manual",OR(H51&gt;0,ORÇAMENTO!AC51="QUANT."),OR(K51="",M51=0,N51="")),"►E",IF(AND(ACOMPANHAMENTO="PLE",ORÇAMENTO!AC51="QUANT."),"►Q",IF(AND(ACOMPANHAMENTO="PLE",H51&lt;&gt;SUMPRODUCT(($Q$1:$AA$1=1)*ROUND(Q51:AA51,15))),"►S",IF(AND(COUNTIF($P$11:$AA$11,"▼")=0,H51&gt;0,I51=""),"◄M","")))))</f>
        <v/>
      </c>
      <c r="K51" s="347"/>
      <c r="L51" s="348" t="n">
        <f aca="true">OFFSET(L51,-1,0)+1</f>
        <v>36</v>
      </c>
      <c r="M51" s="349" t="n">
        <f aca="true">IF($D51&lt;&gt;"Serviço","",
          IF(AUTOEVENTO="manual",$A51,
                IF(ISERROR(MATCH($A51,$A$15:OFFSET($A51,-1,0),0)),MAX($M$15:OFFSET(M51,-1,0))+1,
                      INDEX($M$15:OFFSET(M51,-1,0),MATCH($A51,$A$15:OFFSET($A51,-1,0),0)))))</f>
        <v>9</v>
      </c>
      <c r="N51" s="350" t="str">
        <f aca="true">IF($D51&lt;&gt;"Serviço","",
         IF(AUTOEVENTO="Manual",
                IF($A51=0,"&lt;-- defina o número do agrupador",
                       OFFSET(EVENTOS!$D$15,$A51-$A$15,0)),
                OFFSET($F$15,$A51,0)))</f>
        <v>PINTURA</v>
      </c>
      <c r="O51" s="351"/>
      <c r="Q51" s="351"/>
      <c r="R51" s="352"/>
      <c r="S51" s="352"/>
      <c r="T51" s="352"/>
      <c r="U51" s="352"/>
      <c r="V51" s="352"/>
      <c r="W51" s="352"/>
      <c r="X51" s="352"/>
      <c r="Y51" s="352"/>
      <c r="Z51" s="353"/>
      <c r="AB51" s="354" t="n">
        <f aca="true">IF(AND($D51="Serviço",AB$12&lt;&gt;0,$H51&gt;0,OR(AUTOEVENTO&lt;&gt;"manual",$M51&lt;&gt;$A$15)),
        IF(Import.TipoArredondamento&lt;&gt;"TransfereGOV",
              ROUND(OFFSET($P51,0,AB$13),15-13*ORÇAMENTO!$AF$7)/$H51*OFFSET(ORÇAMENTO!$X$15,ROW(AB51)-ROW(AB$15),0),
              ROUND(ROUND(OFFSET($P51,0,AB$13),15-13*ORÇAMENTO!$AF$7)*OFFSET(ORÇAMENTO!$W$15,ROW(AB51)-ROW(AB$15),0),15-13*ORÇAMENTO!$AF$11)),
         0)</f>
        <v>0</v>
      </c>
      <c r="AC51" s="354" t="n">
        <f aca="true">IF(AND($D51="Serviço",AC$12&lt;&gt;0,$H51&gt;0,OR(AUTOEVENTO&lt;&gt;"manual",$M51&lt;&gt;$A$15)),
        IF(Import.TipoArredondamento&lt;&gt;"TransfereGOV",
              ROUND(OFFSET($P51,0,AC$13),15-13*ORÇAMENTO!$AF$7)/$H51*OFFSET(ORÇAMENTO!$X$15,ROW(AC51)-ROW(AC$15),0),
              ROUND(ROUND(OFFSET($P51,0,AC$13),15-13*ORÇAMENTO!$AF$7)*OFFSET(ORÇAMENTO!$W$15,ROW(AC51)-ROW(AC$15),0),15-13*ORÇAMENTO!$AF$11)),
         0)</f>
        <v>0</v>
      </c>
      <c r="AD51" s="354" t="n">
        <f aca="true">IF(AND($D51="Serviço",AD$12&lt;&gt;0,$H51&gt;0,OR(AUTOEVENTO&lt;&gt;"manual",$M51&lt;&gt;$A$15)),
        IF(Import.TipoArredondamento&lt;&gt;"TransfereGOV",
              ROUND(OFFSET($P51,0,AD$13),15-13*ORÇAMENTO!$AF$7)/$H51*OFFSET(ORÇAMENTO!$X$15,ROW(AD51)-ROW(AD$15),0),
              ROUND(ROUND(OFFSET($P51,0,AD$13),15-13*ORÇAMENTO!$AF$7)*OFFSET(ORÇAMENTO!$W$15,ROW(AD51)-ROW(AD$15),0),15-13*ORÇAMENTO!$AF$11)),
         0)</f>
        <v>0</v>
      </c>
      <c r="AE51" s="354" t="n">
        <f aca="true">IF(AND($D51="Serviço",AE$12&lt;&gt;0,$H51&gt;0,OR(AUTOEVENTO&lt;&gt;"manual",$M51&lt;&gt;$A$15)),
        IF(Import.TipoArredondamento&lt;&gt;"TransfereGOV",
              ROUND(OFFSET($P51,0,AE$13),15-13*ORÇAMENTO!$AF$7)/$H51*OFFSET(ORÇAMENTO!$X$15,ROW(AE51)-ROW(AE$15),0),
              ROUND(ROUND(OFFSET($P51,0,AE$13),15-13*ORÇAMENTO!$AF$7)*OFFSET(ORÇAMENTO!$W$15,ROW(AE51)-ROW(AE$15),0),15-13*ORÇAMENTO!$AF$11)),
         0)</f>
        <v>0</v>
      </c>
      <c r="AF51" s="354" t="n">
        <f aca="true">IF(AND($D51="Serviço",AF$12&lt;&gt;0,$H51&gt;0,OR(AUTOEVENTO&lt;&gt;"manual",$M51&lt;&gt;$A$15)),
        IF(Import.TipoArredondamento&lt;&gt;"TransfereGOV",
              ROUND(OFFSET($P51,0,AF$13),15-13*ORÇAMENTO!$AF$7)/$H51*OFFSET(ORÇAMENTO!$X$15,ROW(AF51)-ROW(AF$15),0),
              ROUND(ROUND(OFFSET($P51,0,AF$13),15-13*ORÇAMENTO!$AF$7)*OFFSET(ORÇAMENTO!$W$15,ROW(AF51)-ROW(AF$15),0),15-13*ORÇAMENTO!$AF$11)),
         0)</f>
        <v>0</v>
      </c>
      <c r="AG51" s="354" t="n">
        <f aca="true">IF(AND($D51="Serviço",AG$12&lt;&gt;0,$H51&gt;0,OR(AUTOEVENTO&lt;&gt;"manual",$M51&lt;&gt;$A$15)),
        IF(Import.TipoArredondamento&lt;&gt;"TransfereGOV",
              ROUND(OFFSET($P51,0,AG$13),15-13*ORÇAMENTO!$AF$7)/$H51*OFFSET(ORÇAMENTO!$X$15,ROW(AG51)-ROW(AG$15),0),
              ROUND(ROUND(OFFSET($P51,0,AG$13),15-13*ORÇAMENTO!$AF$7)*OFFSET(ORÇAMENTO!$W$15,ROW(AG51)-ROW(AG$15),0),15-13*ORÇAMENTO!$AF$11)),
         0)</f>
        <v>0</v>
      </c>
      <c r="AH51" s="354" t="n">
        <f aca="true">IF(AND($D51="Serviço",AH$12&lt;&gt;0,$H51&gt;0,OR(AUTOEVENTO&lt;&gt;"manual",$M51&lt;&gt;$A$15)),
        IF(Import.TipoArredondamento&lt;&gt;"TransfereGOV",
              ROUND(OFFSET($P51,0,AH$13),15-13*ORÇAMENTO!$AF$7)/$H51*OFFSET(ORÇAMENTO!$X$15,ROW(AH51)-ROW(AH$15),0),
              ROUND(ROUND(OFFSET($P51,0,AH$13),15-13*ORÇAMENTO!$AF$7)*OFFSET(ORÇAMENTO!$W$15,ROW(AH51)-ROW(AH$15),0),15-13*ORÇAMENTO!$AF$11)),
         0)</f>
        <v>0</v>
      </c>
      <c r="AI51" s="354" t="n">
        <f aca="true">IF(AND($D51="Serviço",AI$12&lt;&gt;0,$H51&gt;0,OR(AUTOEVENTO&lt;&gt;"manual",$M51&lt;&gt;$A$15)),
        IF(Import.TipoArredondamento&lt;&gt;"TransfereGOV",
              ROUND(OFFSET($P51,0,AI$13),15-13*ORÇAMENTO!$AF$7)/$H51*OFFSET(ORÇAMENTO!$X$15,ROW(AI51)-ROW(AI$15),0),
              ROUND(ROUND(OFFSET($P51,0,AI$13),15-13*ORÇAMENTO!$AF$7)*OFFSET(ORÇAMENTO!$W$15,ROW(AI51)-ROW(AI$15),0),15-13*ORÇAMENTO!$AF$11)),
         0)</f>
        <v>0</v>
      </c>
      <c r="AJ51" s="354" t="n">
        <f aca="true">IF(AND($D51="Serviço",AJ$12&lt;&gt;0,$H51&gt;0,OR(AUTOEVENTO&lt;&gt;"manual",$M51&lt;&gt;$A$15)),
        IF(Import.TipoArredondamento&lt;&gt;"TransfereGOV",
              ROUND(OFFSET($P51,0,AJ$13),15-13*ORÇAMENTO!$AF$7)/$H51*OFFSET(ORÇAMENTO!$X$15,ROW(AJ51)-ROW(AJ$15),0),
              ROUND(ROUND(OFFSET($P51,0,AJ$13),15-13*ORÇAMENTO!$AF$7)*OFFSET(ORÇAMENTO!$W$15,ROW(AJ51)-ROW(AJ$15),0),15-13*ORÇAMENTO!$AF$11)),
         0)</f>
        <v>0</v>
      </c>
      <c r="AK51" s="354" t="n">
        <f aca="true">IF(AND($D51="Serviço",AK$12&lt;&gt;0,$H51&gt;0,OR(AUTOEVENTO&lt;&gt;"manual",$M51&lt;&gt;$A$15)),
        IF(Import.TipoArredondamento&lt;&gt;"TransfereGOV",
              ROUND(OFFSET($P51,0,AK$13),15-13*ORÇAMENTO!$AF$7)/$H51*OFFSET(ORÇAMENTO!$X$15,ROW(AK51)-ROW(AK$15),0),
              ROUND(ROUND(OFFSET($P51,0,AK$13),15-13*ORÇAMENTO!$AF$7)*OFFSET(ORÇAMENTO!$W$15,ROW(AK51)-ROW(AK$15),0),15-13*ORÇAMENTO!$AF$11)),
         0)</f>
        <v>0</v>
      </c>
      <c r="AM51" s="355" t="n">
        <f aca="true">IF(OR($D51&lt;&gt;"Serviço",AND(AUTOEVENTO="Manual",$M51=$A$15)),0,
         IF(OFFSET(CRONOPLE!$F$15,$M51-$A$15,AM$13)=0,10^12,OFFSET(CRONOPLE!$F$15,$M51-$A$15,AM$13)))</f>
        <v>1000000000000</v>
      </c>
      <c r="AN51" s="355" t="n">
        <f aca="true">IF(OR($D51&lt;&gt;"Serviço",AND(AUTOEVENTO="Manual",$M51=$A$15)),0,
         IF(OFFSET(CRONOPLE!$F$15,$M51-$A$15,AN$13)=0,10^12,OFFSET(CRONOPLE!$F$15,$M51-$A$15,AN$13)))</f>
        <v>1000000000000</v>
      </c>
      <c r="AO51" s="355" t="n">
        <f aca="true">IF(OR($D51&lt;&gt;"Serviço",AND(AUTOEVENTO="Manual",$M51=$A$15)),0,
         IF(OFFSET(CRONOPLE!$F$15,$M51-$A$15,AO$13)=0,10^12,OFFSET(CRONOPLE!$F$15,$M51-$A$15,AO$13)))</f>
        <v>1000000000000</v>
      </c>
      <c r="AP51" s="355" t="n">
        <f aca="true">IF(OR($D51&lt;&gt;"Serviço",AND(AUTOEVENTO="Manual",$M51=$A$15)),0,
         IF(OFFSET(CRONOPLE!$F$15,$M51-$A$15,AP$13)=0,10^12,OFFSET(CRONOPLE!$F$15,$M51-$A$15,AP$13)))</f>
        <v>1000000000000</v>
      </c>
      <c r="AQ51" s="355" t="n">
        <f aca="true">IF(OR($D51&lt;&gt;"Serviço",AND(AUTOEVENTO="Manual",$M51=$A$15)),0,
         IF(OFFSET(CRONOPLE!$F$15,$M51-$A$15,AQ$13)=0,10^12,OFFSET(CRONOPLE!$F$15,$M51-$A$15,AQ$13)))</f>
        <v>1000000000000</v>
      </c>
      <c r="AR51" s="355" t="n">
        <f aca="true">IF(OR($D51&lt;&gt;"Serviço",AND(AUTOEVENTO="Manual",$M51=$A$15)),0,
         IF(OFFSET(CRONOPLE!$F$15,$M51-$A$15,AR$13)=0,10^12,OFFSET(CRONOPLE!$F$15,$M51-$A$15,AR$13)))</f>
        <v>1000000000000</v>
      </c>
      <c r="AS51" s="355" t="n">
        <f aca="true">IF(OR($D51&lt;&gt;"Serviço",AND(AUTOEVENTO="Manual",$M51=$A$15)),0,
         IF(OFFSET(CRONOPLE!$F$15,$M51-$A$15,AS$13)=0,10^12,OFFSET(CRONOPLE!$F$15,$M51-$A$15,AS$13)))</f>
        <v>1000000000000</v>
      </c>
      <c r="AT51" s="355" t="n">
        <f aca="true">IF(OR($D51&lt;&gt;"Serviço",AND(AUTOEVENTO="Manual",$M51=$A$15)),0,
         IF(OFFSET(CRONOPLE!$F$15,$M51-$A$15,AT$13)=0,10^12,OFFSET(CRONOPLE!$F$15,$M51-$A$15,AT$13)))</f>
        <v>1000000000000</v>
      </c>
      <c r="AU51" s="355" t="n">
        <f aca="true">IF(OR($D51&lt;&gt;"Serviço",AND(AUTOEVENTO="Manual",$M51=$A$15)),0,
         IF(OFFSET(CRONOPLE!$F$15,$M51-$A$15,AU$13)=0,10^12,OFFSET(CRONOPLE!$F$15,$M51-$A$15,AU$13)))</f>
        <v>1000000000000</v>
      </c>
      <c r="AV51" s="355" t="n">
        <f aca="true">IF(OR($D51&lt;&gt;"Serviço",AND(AUTOEVENTO="Manual",$M51=$A$15)),0,
         IF(OFFSET(CRONOPLE!$F$15,$M51-$A$15,AV$13)=0,10^12,OFFSET(CRONOPLE!$F$15,$M51-$A$15,AV$13)))</f>
        <v>1000000000000</v>
      </c>
      <c r="AX51" s="356" t="n">
        <f aca="true" t="array" ref="AX51:AX51">IF(OR($D51&lt;&gt;"Serviço",AND(AUTOEVENTO="Manual",$M51=$A$15),$M51&gt;(ROW(PLE.lastrow)-ROW(PLE.firstrow))),0,
           IF(OFFSET(PLE!$G$15,$M51-$A$15,AX$13)="",10^12,OFFSET(PLE!$G$15,$M51-$A$15,AX$13)))</f>
        <v>1000000000000</v>
      </c>
      <c r="AY51" s="356" t="n">
        <f aca="true" t="array" ref="AY51:AY51">IF(OR($D51&lt;&gt;"Serviço",AND(AUTOEVENTO="Manual",$M51=$A$15),$M51&gt;(ROW(PLE.lastrow)-ROW(PLE.firstrow))),0,
           IF(OFFSET(PLE!$G$15,$M51-$A$15,AY$13)="",10^12,OFFSET(PLE!$G$15,$M51-$A$15,AY$13)))</f>
        <v>1000000000000</v>
      </c>
      <c r="AZ51" s="356" t="n">
        <f aca="true" t="array" ref="AZ51:AZ51">IF(OR($D51&lt;&gt;"Serviço",AND(AUTOEVENTO="Manual",$M51=$A$15),$M51&gt;(ROW(PLE.lastrow)-ROW(PLE.firstrow))),0,
           IF(OFFSET(PLE!$G$15,$M51-$A$15,AZ$13)="",10^12,OFFSET(PLE!$G$15,$M51-$A$15,AZ$13)))</f>
        <v>1000000000000</v>
      </c>
      <c r="BA51" s="356" t="n">
        <f aca="true" t="array" ref="BA51:BA51">IF(OR($D51&lt;&gt;"Serviço",AND(AUTOEVENTO="Manual",$M51=$A$15),$M51&gt;(ROW(PLE.lastrow)-ROW(PLE.firstrow))),0,
           IF(OFFSET(PLE!$G$15,$M51-$A$15,BA$13)="",10^12,OFFSET(PLE!$G$15,$M51-$A$15,BA$13)))</f>
        <v>1000000000000</v>
      </c>
      <c r="BB51" s="356" t="n">
        <f aca="true" t="array" ref="BB51:BB51">IF(OR($D51&lt;&gt;"Serviço",AND(AUTOEVENTO="Manual",$M51=$A$15),$M51&gt;(ROW(PLE.lastrow)-ROW(PLE.firstrow))),0,
           IF(OFFSET(PLE!$G$15,$M51-$A$15,BB$13)="",10^12,OFFSET(PLE!$G$15,$M51-$A$15,BB$13)))</f>
        <v>1000000000000</v>
      </c>
      <c r="BC51" s="356" t="n">
        <f aca="true" t="array" ref="BC51:BC51">IF(OR($D51&lt;&gt;"Serviço",AND(AUTOEVENTO="Manual",$M51=$A$15),$M51&gt;(ROW(PLE.lastrow)-ROW(PLE.firstrow))),0,
           IF(OFFSET(PLE!$G$15,$M51-$A$15,BC$13)="",10^12,OFFSET(PLE!$G$15,$M51-$A$15,BC$13)))</f>
        <v>1000000000000</v>
      </c>
      <c r="BD51" s="356" t="n">
        <f aca="true" t="array" ref="BD51:BD51">IF(OR($D51&lt;&gt;"Serviço",AND(AUTOEVENTO="Manual",$M51=$A$15),$M51&gt;(ROW(PLE.lastrow)-ROW(PLE.firstrow))),0,
           IF(OFFSET(PLE!$G$15,$M51-$A$15,BD$13)="",10^12,OFFSET(PLE!$G$15,$M51-$A$15,BD$13)))</f>
        <v>1000000000000</v>
      </c>
      <c r="BE51" s="356" t="n">
        <f aca="true" t="array" ref="BE51:BE51">IF(OR($D51&lt;&gt;"Serviço",AND(AUTOEVENTO="Manual",$M51=$A$15),$M51&gt;(ROW(PLE.lastrow)-ROW(PLE.firstrow))),0,
           IF(OFFSET(PLE!$G$15,$M51-$A$15,BE$13)="",10^12,OFFSET(PLE!$G$15,$M51-$A$15,BE$13)))</f>
        <v>1000000000000</v>
      </c>
      <c r="BF51" s="356" t="n">
        <f aca="true" t="array" ref="BF51:BF51">IF(OR($D51&lt;&gt;"Serviço",AND(AUTOEVENTO="Manual",$M51=$A$15),$M51&gt;(ROW(PLE.lastrow)-ROW(PLE.firstrow))),0,
           IF(OFFSET(PLE!$G$15,$M51-$A$15,BF$13)="",10^12,OFFSET(PLE!$G$15,$M51-$A$15,BF$13)))</f>
        <v>1000000000000</v>
      </c>
      <c r="BG51" s="356" t="n">
        <f aca="true" t="array" ref="BG51:BG51">IF(OR($D51&lt;&gt;"Serviço",AND(AUTOEVENTO="Manual",$M51=$A$15),$M51&gt;(ROW(PLE.lastrow)-ROW(PLE.firstrow))),0,
           IF(OFFSET(PLE!$G$15,$M51-$A$15,BG$13)="",10^12,OFFSET(PLE!$G$15,$M51-$A$15,BG$13)))</f>
        <v>1000000000000</v>
      </c>
    </row>
    <row r="52" customFormat="false" ht="12.75" hidden="false" customHeight="false" outlineLevel="0" collapsed="false">
      <c r="A52" s="48" t="str">
        <f aca="true">IFERROR(IF(AUTOEVENTO="Manual",IF(K52&lt;&gt;"",MIN(VALUE(LEFT(K52,FIND(".",K52)-1)),COUNTA(EVENTOS.Lista)),0),IF(OR($B52&gt;AUTOEVENTO,$B52="S",$B52=0),SUBSTITUTE(OFFSET($A52,-1,0),IF($D52="Serviço",".",""),""),$L52&amp;".")),0)</f>
        <v>37.</v>
      </c>
      <c r="B52" s="48" t="n">
        <f aca="true">OFFSET(ORÇAMENTO!C$15,$L52,0)</f>
        <v>2</v>
      </c>
      <c r="C52" s="48" t="str">
        <f aca="true">OFFSET(ORÇAMENTO!L$15,$L52,0)</f>
        <v>F</v>
      </c>
      <c r="D52" s="206" t="str">
        <f aca="true">OFFSET(ORÇAMENTO!N$15,$L52,0)</f>
        <v>Nível 2</v>
      </c>
      <c r="E52" s="207" t="str">
        <f aca="true">OFFSET(ORÇAMENTO!O$15,$L52,0)</f>
        <v>1.10.</v>
      </c>
      <c r="F52" s="343" t="str">
        <f aca="true">OFFSET(ORÇAMENTO!R$15,$L52,0)</f>
        <v>PAISAGISMO</v>
      </c>
      <c r="G52" s="344" t="str">
        <f aca="true">IF($D52&lt;&gt;"Serviço","",OFFSET(ORÇAMENTO!S$15,$L52,0))</f>
        <v/>
      </c>
      <c r="H52" s="212" t="n">
        <f aca="true" t="array" ref="H52:H52">IF($D52&lt;&gt;"Serviço",0,IF(ACOMPANHAMENTO="BM",ROUND(OFFSET(ORÇAMENTO!AJ$15,$L52,0),15-13*ORÇAMENTO!$AF$7),IF(IFERROR(CÁLCULO.FrentesPreenchidas,0)=0,0,SUM(ROUND(OFFSET($P52,0,1,1,CÁLCULO.FrentesPreenchidas),15-13*ORÇAMENTO!$AF$7)))))</f>
        <v>0</v>
      </c>
      <c r="I52" s="345"/>
      <c r="J52" s="346" t="str">
        <f aca="false" t="array" ref="J52:J52">IF(OR(B52&lt;&gt;"S",CÁLCULO.FrentesPreenchidas=0),"",IF(AND(ACOMPANHAMENTO="PLE",AUTOEVENTO="Manual",OR(H52&gt;0,ORÇAMENTO!AC52="QUANT."),OR(K52="",M52=0,N52="")),"►E",IF(AND(ACOMPANHAMENTO="PLE",ORÇAMENTO!AC52="QUANT."),"►Q",IF(AND(ACOMPANHAMENTO="PLE",H52&lt;&gt;SUMPRODUCT(($Q$1:$AA$1=1)*ROUND(Q52:AA52,15))),"►S",IF(AND(COUNTIF($P$11:$AA$11,"▼")=0,H52&gt;0,I52=""),"◄M","")))))</f>
        <v/>
      </c>
      <c r="K52" s="347"/>
      <c r="L52" s="348" t="n">
        <f aca="true">OFFSET(L52,-1,0)+1</f>
        <v>37</v>
      </c>
      <c r="M52" s="349" t="str">
        <f aca="true">IF($D52&lt;&gt;"Serviço","",
          IF(AUTOEVENTO="manual",$A52,
                IF(ISERROR(MATCH($A52,$A$15:OFFSET($A52,-1,0),0)),MAX($M$15:OFFSET(M52,-1,0))+1,
                      INDEX($M$15:OFFSET(M52,-1,0),MATCH($A52,$A$15:OFFSET($A52,-1,0),0)))))</f>
        <v/>
      </c>
      <c r="N52" s="350" t="str">
        <f aca="true">IF($D52&lt;&gt;"Serviço","",
         IF(AUTOEVENTO="Manual",
                IF($A52=0,"&lt;-- defina o número do agrupador",
                       OFFSET(EVENTOS!$D$15,$A52-$A$15,0)),
                OFFSET($F$15,$A52,0)))</f>
        <v/>
      </c>
      <c r="O52" s="351"/>
      <c r="Q52" s="351"/>
      <c r="R52" s="352"/>
      <c r="S52" s="352"/>
      <c r="T52" s="352"/>
      <c r="U52" s="352"/>
      <c r="V52" s="352"/>
      <c r="W52" s="352"/>
      <c r="X52" s="352"/>
      <c r="Y52" s="352"/>
      <c r="Z52" s="353"/>
      <c r="AB52" s="354" t="n">
        <f aca="true">IF(AND($D52="Serviço",AB$12&lt;&gt;0,$H52&gt;0,OR(AUTOEVENTO&lt;&gt;"manual",$M52&lt;&gt;$A$15)),
        IF(Import.TipoArredondamento&lt;&gt;"TransfereGOV",
              ROUND(OFFSET($P52,0,AB$13),15-13*ORÇAMENTO!$AF$7)/$H52*OFFSET(ORÇAMENTO!$X$15,ROW(AB52)-ROW(AB$15),0),
              ROUND(ROUND(OFFSET($P52,0,AB$13),15-13*ORÇAMENTO!$AF$7)*OFFSET(ORÇAMENTO!$W$15,ROW(AB52)-ROW(AB$15),0),15-13*ORÇAMENTO!$AF$11)),
         0)</f>
        <v>0</v>
      </c>
      <c r="AC52" s="354" t="n">
        <f aca="true">IF(AND($D52="Serviço",AC$12&lt;&gt;0,$H52&gt;0,OR(AUTOEVENTO&lt;&gt;"manual",$M52&lt;&gt;$A$15)),
        IF(Import.TipoArredondamento&lt;&gt;"TransfereGOV",
              ROUND(OFFSET($P52,0,AC$13),15-13*ORÇAMENTO!$AF$7)/$H52*OFFSET(ORÇAMENTO!$X$15,ROW(AC52)-ROW(AC$15),0),
              ROUND(ROUND(OFFSET($P52,0,AC$13),15-13*ORÇAMENTO!$AF$7)*OFFSET(ORÇAMENTO!$W$15,ROW(AC52)-ROW(AC$15),0),15-13*ORÇAMENTO!$AF$11)),
         0)</f>
        <v>0</v>
      </c>
      <c r="AD52" s="354" t="n">
        <f aca="true">IF(AND($D52="Serviço",AD$12&lt;&gt;0,$H52&gt;0,OR(AUTOEVENTO&lt;&gt;"manual",$M52&lt;&gt;$A$15)),
        IF(Import.TipoArredondamento&lt;&gt;"TransfereGOV",
              ROUND(OFFSET($P52,0,AD$13),15-13*ORÇAMENTO!$AF$7)/$H52*OFFSET(ORÇAMENTO!$X$15,ROW(AD52)-ROW(AD$15),0),
              ROUND(ROUND(OFFSET($P52,0,AD$13),15-13*ORÇAMENTO!$AF$7)*OFFSET(ORÇAMENTO!$W$15,ROW(AD52)-ROW(AD$15),0),15-13*ORÇAMENTO!$AF$11)),
         0)</f>
        <v>0</v>
      </c>
      <c r="AE52" s="354" t="n">
        <f aca="true">IF(AND($D52="Serviço",AE$12&lt;&gt;0,$H52&gt;0,OR(AUTOEVENTO&lt;&gt;"manual",$M52&lt;&gt;$A$15)),
        IF(Import.TipoArredondamento&lt;&gt;"TransfereGOV",
              ROUND(OFFSET($P52,0,AE$13),15-13*ORÇAMENTO!$AF$7)/$H52*OFFSET(ORÇAMENTO!$X$15,ROW(AE52)-ROW(AE$15),0),
              ROUND(ROUND(OFFSET($P52,0,AE$13),15-13*ORÇAMENTO!$AF$7)*OFFSET(ORÇAMENTO!$W$15,ROW(AE52)-ROW(AE$15),0),15-13*ORÇAMENTO!$AF$11)),
         0)</f>
        <v>0</v>
      </c>
      <c r="AF52" s="354" t="n">
        <f aca="true">IF(AND($D52="Serviço",AF$12&lt;&gt;0,$H52&gt;0,OR(AUTOEVENTO&lt;&gt;"manual",$M52&lt;&gt;$A$15)),
        IF(Import.TipoArredondamento&lt;&gt;"TransfereGOV",
              ROUND(OFFSET($P52,0,AF$13),15-13*ORÇAMENTO!$AF$7)/$H52*OFFSET(ORÇAMENTO!$X$15,ROW(AF52)-ROW(AF$15),0),
              ROUND(ROUND(OFFSET($P52,0,AF$13),15-13*ORÇAMENTO!$AF$7)*OFFSET(ORÇAMENTO!$W$15,ROW(AF52)-ROW(AF$15),0),15-13*ORÇAMENTO!$AF$11)),
         0)</f>
        <v>0</v>
      </c>
      <c r="AG52" s="354" t="n">
        <f aca="true">IF(AND($D52="Serviço",AG$12&lt;&gt;0,$H52&gt;0,OR(AUTOEVENTO&lt;&gt;"manual",$M52&lt;&gt;$A$15)),
        IF(Import.TipoArredondamento&lt;&gt;"TransfereGOV",
              ROUND(OFFSET($P52,0,AG$13),15-13*ORÇAMENTO!$AF$7)/$H52*OFFSET(ORÇAMENTO!$X$15,ROW(AG52)-ROW(AG$15),0),
              ROUND(ROUND(OFFSET($P52,0,AG$13),15-13*ORÇAMENTO!$AF$7)*OFFSET(ORÇAMENTO!$W$15,ROW(AG52)-ROW(AG$15),0),15-13*ORÇAMENTO!$AF$11)),
         0)</f>
        <v>0</v>
      </c>
      <c r="AH52" s="354" t="n">
        <f aca="true">IF(AND($D52="Serviço",AH$12&lt;&gt;0,$H52&gt;0,OR(AUTOEVENTO&lt;&gt;"manual",$M52&lt;&gt;$A$15)),
        IF(Import.TipoArredondamento&lt;&gt;"TransfereGOV",
              ROUND(OFFSET($P52,0,AH$13),15-13*ORÇAMENTO!$AF$7)/$H52*OFFSET(ORÇAMENTO!$X$15,ROW(AH52)-ROW(AH$15),0),
              ROUND(ROUND(OFFSET($P52,0,AH$13),15-13*ORÇAMENTO!$AF$7)*OFFSET(ORÇAMENTO!$W$15,ROW(AH52)-ROW(AH$15),0),15-13*ORÇAMENTO!$AF$11)),
         0)</f>
        <v>0</v>
      </c>
      <c r="AI52" s="354" t="n">
        <f aca="true">IF(AND($D52="Serviço",AI$12&lt;&gt;0,$H52&gt;0,OR(AUTOEVENTO&lt;&gt;"manual",$M52&lt;&gt;$A$15)),
        IF(Import.TipoArredondamento&lt;&gt;"TransfereGOV",
              ROUND(OFFSET($P52,0,AI$13),15-13*ORÇAMENTO!$AF$7)/$H52*OFFSET(ORÇAMENTO!$X$15,ROW(AI52)-ROW(AI$15),0),
              ROUND(ROUND(OFFSET($P52,0,AI$13),15-13*ORÇAMENTO!$AF$7)*OFFSET(ORÇAMENTO!$W$15,ROW(AI52)-ROW(AI$15),0),15-13*ORÇAMENTO!$AF$11)),
         0)</f>
        <v>0</v>
      </c>
      <c r="AJ52" s="354" t="n">
        <f aca="true">IF(AND($D52="Serviço",AJ$12&lt;&gt;0,$H52&gt;0,OR(AUTOEVENTO&lt;&gt;"manual",$M52&lt;&gt;$A$15)),
        IF(Import.TipoArredondamento&lt;&gt;"TransfereGOV",
              ROUND(OFFSET($P52,0,AJ$13),15-13*ORÇAMENTO!$AF$7)/$H52*OFFSET(ORÇAMENTO!$X$15,ROW(AJ52)-ROW(AJ$15),0),
              ROUND(ROUND(OFFSET($P52,0,AJ$13),15-13*ORÇAMENTO!$AF$7)*OFFSET(ORÇAMENTO!$W$15,ROW(AJ52)-ROW(AJ$15),0),15-13*ORÇAMENTO!$AF$11)),
         0)</f>
        <v>0</v>
      </c>
      <c r="AK52" s="354" t="n">
        <f aca="true">IF(AND($D52="Serviço",AK$12&lt;&gt;0,$H52&gt;0,OR(AUTOEVENTO&lt;&gt;"manual",$M52&lt;&gt;$A$15)),
        IF(Import.TipoArredondamento&lt;&gt;"TransfereGOV",
              ROUND(OFFSET($P52,0,AK$13),15-13*ORÇAMENTO!$AF$7)/$H52*OFFSET(ORÇAMENTO!$X$15,ROW(AK52)-ROW(AK$15),0),
              ROUND(ROUND(OFFSET($P52,0,AK$13),15-13*ORÇAMENTO!$AF$7)*OFFSET(ORÇAMENTO!$W$15,ROW(AK52)-ROW(AK$15),0),15-13*ORÇAMENTO!$AF$11)),
         0)</f>
        <v>0</v>
      </c>
      <c r="AM52" s="355" t="n">
        <f aca="true">IF(OR($D52&lt;&gt;"Serviço",AND(AUTOEVENTO="Manual",$M52=$A$15)),0,
         IF(OFFSET(CRONOPLE!$F$15,$M52-$A$15,AM$13)=0,10^12,OFFSET(CRONOPLE!$F$15,$M52-$A$15,AM$13)))</f>
        <v>0</v>
      </c>
      <c r="AN52" s="355" t="n">
        <f aca="true">IF(OR($D52&lt;&gt;"Serviço",AND(AUTOEVENTO="Manual",$M52=$A$15)),0,
         IF(OFFSET(CRONOPLE!$F$15,$M52-$A$15,AN$13)=0,10^12,OFFSET(CRONOPLE!$F$15,$M52-$A$15,AN$13)))</f>
        <v>0</v>
      </c>
      <c r="AO52" s="355" t="n">
        <f aca="true">IF(OR($D52&lt;&gt;"Serviço",AND(AUTOEVENTO="Manual",$M52=$A$15)),0,
         IF(OFFSET(CRONOPLE!$F$15,$M52-$A$15,AO$13)=0,10^12,OFFSET(CRONOPLE!$F$15,$M52-$A$15,AO$13)))</f>
        <v>0</v>
      </c>
      <c r="AP52" s="355" t="n">
        <f aca="true">IF(OR($D52&lt;&gt;"Serviço",AND(AUTOEVENTO="Manual",$M52=$A$15)),0,
         IF(OFFSET(CRONOPLE!$F$15,$M52-$A$15,AP$13)=0,10^12,OFFSET(CRONOPLE!$F$15,$M52-$A$15,AP$13)))</f>
        <v>0</v>
      </c>
      <c r="AQ52" s="355" t="n">
        <f aca="true">IF(OR($D52&lt;&gt;"Serviço",AND(AUTOEVENTO="Manual",$M52=$A$15)),0,
         IF(OFFSET(CRONOPLE!$F$15,$M52-$A$15,AQ$13)=0,10^12,OFFSET(CRONOPLE!$F$15,$M52-$A$15,AQ$13)))</f>
        <v>0</v>
      </c>
      <c r="AR52" s="355" t="n">
        <f aca="true">IF(OR($D52&lt;&gt;"Serviço",AND(AUTOEVENTO="Manual",$M52=$A$15)),0,
         IF(OFFSET(CRONOPLE!$F$15,$M52-$A$15,AR$13)=0,10^12,OFFSET(CRONOPLE!$F$15,$M52-$A$15,AR$13)))</f>
        <v>0</v>
      </c>
      <c r="AS52" s="355" t="n">
        <f aca="true">IF(OR($D52&lt;&gt;"Serviço",AND(AUTOEVENTO="Manual",$M52=$A$15)),0,
         IF(OFFSET(CRONOPLE!$F$15,$M52-$A$15,AS$13)=0,10^12,OFFSET(CRONOPLE!$F$15,$M52-$A$15,AS$13)))</f>
        <v>0</v>
      </c>
      <c r="AT52" s="355" t="n">
        <f aca="true">IF(OR($D52&lt;&gt;"Serviço",AND(AUTOEVENTO="Manual",$M52=$A$15)),0,
         IF(OFFSET(CRONOPLE!$F$15,$M52-$A$15,AT$13)=0,10^12,OFFSET(CRONOPLE!$F$15,$M52-$A$15,AT$13)))</f>
        <v>0</v>
      </c>
      <c r="AU52" s="355" t="n">
        <f aca="true">IF(OR($D52&lt;&gt;"Serviço",AND(AUTOEVENTO="Manual",$M52=$A$15)),0,
         IF(OFFSET(CRONOPLE!$F$15,$M52-$A$15,AU$13)=0,10^12,OFFSET(CRONOPLE!$F$15,$M52-$A$15,AU$13)))</f>
        <v>0</v>
      </c>
      <c r="AV52" s="355" t="n">
        <f aca="true">IF(OR($D52&lt;&gt;"Serviço",AND(AUTOEVENTO="Manual",$M52=$A$15)),0,
         IF(OFFSET(CRONOPLE!$F$15,$M52-$A$15,AV$13)=0,10^12,OFFSET(CRONOPLE!$F$15,$M52-$A$15,AV$13)))</f>
        <v>0</v>
      </c>
      <c r="AX52" s="356" t="n">
        <f aca="true" t="array" ref="AX52:AX52">IF(OR($D52&lt;&gt;"Serviço",AND(AUTOEVENTO="Manual",$M52=$A$15),$M52&gt;(ROW(PLE.lastrow)-ROW(PLE.firstrow))),0,
           IF(OFFSET(PLE!$G$15,$M52-$A$15,AX$13)="",10^12,OFFSET(PLE!$G$15,$M52-$A$15,AX$13)))</f>
        <v>0</v>
      </c>
      <c r="AY52" s="356" t="n">
        <f aca="true" t="array" ref="AY52:AY52">IF(OR($D52&lt;&gt;"Serviço",AND(AUTOEVENTO="Manual",$M52=$A$15),$M52&gt;(ROW(PLE.lastrow)-ROW(PLE.firstrow))),0,
           IF(OFFSET(PLE!$G$15,$M52-$A$15,AY$13)="",10^12,OFFSET(PLE!$G$15,$M52-$A$15,AY$13)))</f>
        <v>0</v>
      </c>
      <c r="AZ52" s="356" t="n">
        <f aca="true" t="array" ref="AZ52:AZ52">IF(OR($D52&lt;&gt;"Serviço",AND(AUTOEVENTO="Manual",$M52=$A$15),$M52&gt;(ROW(PLE.lastrow)-ROW(PLE.firstrow))),0,
           IF(OFFSET(PLE!$G$15,$M52-$A$15,AZ$13)="",10^12,OFFSET(PLE!$G$15,$M52-$A$15,AZ$13)))</f>
        <v>0</v>
      </c>
      <c r="BA52" s="356" t="n">
        <f aca="true" t="array" ref="BA52:BA52">IF(OR($D52&lt;&gt;"Serviço",AND(AUTOEVENTO="Manual",$M52=$A$15),$M52&gt;(ROW(PLE.lastrow)-ROW(PLE.firstrow))),0,
           IF(OFFSET(PLE!$G$15,$M52-$A$15,BA$13)="",10^12,OFFSET(PLE!$G$15,$M52-$A$15,BA$13)))</f>
        <v>0</v>
      </c>
      <c r="BB52" s="356" t="n">
        <f aca="true" t="array" ref="BB52:BB52">IF(OR($D52&lt;&gt;"Serviço",AND(AUTOEVENTO="Manual",$M52=$A$15),$M52&gt;(ROW(PLE.lastrow)-ROW(PLE.firstrow))),0,
           IF(OFFSET(PLE!$G$15,$M52-$A$15,BB$13)="",10^12,OFFSET(PLE!$G$15,$M52-$A$15,BB$13)))</f>
        <v>0</v>
      </c>
      <c r="BC52" s="356" t="n">
        <f aca="true" t="array" ref="BC52:BC52">IF(OR($D52&lt;&gt;"Serviço",AND(AUTOEVENTO="Manual",$M52=$A$15),$M52&gt;(ROW(PLE.lastrow)-ROW(PLE.firstrow))),0,
           IF(OFFSET(PLE!$G$15,$M52-$A$15,BC$13)="",10^12,OFFSET(PLE!$G$15,$M52-$A$15,BC$13)))</f>
        <v>0</v>
      </c>
      <c r="BD52" s="356" t="n">
        <f aca="true" t="array" ref="BD52:BD52">IF(OR($D52&lt;&gt;"Serviço",AND(AUTOEVENTO="Manual",$M52=$A$15),$M52&gt;(ROW(PLE.lastrow)-ROW(PLE.firstrow))),0,
           IF(OFFSET(PLE!$G$15,$M52-$A$15,BD$13)="",10^12,OFFSET(PLE!$G$15,$M52-$A$15,BD$13)))</f>
        <v>0</v>
      </c>
      <c r="BE52" s="356" t="n">
        <f aca="true" t="array" ref="BE52:BE52">IF(OR($D52&lt;&gt;"Serviço",AND(AUTOEVENTO="Manual",$M52=$A$15),$M52&gt;(ROW(PLE.lastrow)-ROW(PLE.firstrow))),0,
           IF(OFFSET(PLE!$G$15,$M52-$A$15,BE$13)="",10^12,OFFSET(PLE!$G$15,$M52-$A$15,BE$13)))</f>
        <v>0</v>
      </c>
      <c r="BF52" s="356" t="n">
        <f aca="true" t="array" ref="BF52:BF52">IF(OR($D52&lt;&gt;"Serviço",AND(AUTOEVENTO="Manual",$M52=$A$15),$M52&gt;(ROW(PLE.lastrow)-ROW(PLE.firstrow))),0,
           IF(OFFSET(PLE!$G$15,$M52-$A$15,BF$13)="",10^12,OFFSET(PLE!$G$15,$M52-$A$15,BF$13)))</f>
        <v>0</v>
      </c>
      <c r="BG52" s="356" t="n">
        <f aca="true" t="array" ref="BG52:BG52">IF(OR($D52&lt;&gt;"Serviço",AND(AUTOEVENTO="Manual",$M52=$A$15),$M52&gt;(ROW(PLE.lastrow)-ROW(PLE.firstrow))),0,
           IF(OFFSET(PLE!$G$15,$M52-$A$15,BG$13)="",10^12,OFFSET(PLE!$G$15,$M52-$A$15,BG$13)))</f>
        <v>0</v>
      </c>
    </row>
    <row r="53" customFormat="false" ht="57.45" hidden="false" customHeight="false" outlineLevel="0" collapsed="false">
      <c r="A53" s="48" t="str">
        <f aca="true">IFERROR(IF(AUTOEVENTO="Manual",IF(K53&lt;&gt;"",MIN(VALUE(LEFT(K53,FIND(".",K53)-1)),COUNTA(EVENTOS.Lista)),0),IF(OR($B53&gt;AUTOEVENTO,$B53="S",$B53=0),SUBSTITUTE(OFFSET($A53,-1,0),IF($D53="Serviço",".",""),""),$L53&amp;".")),0)</f>
        <v>37</v>
      </c>
      <c r="B53" s="48" t="str">
        <f aca="true">OFFSET(ORÇAMENTO!C$15,$L53,0)</f>
        <v>S</v>
      </c>
      <c r="C53" s="48" t="str">
        <f aca="true">OFFSET(ORÇAMENTO!L$15,$L53,0)</f>
        <v/>
      </c>
      <c r="D53" s="206" t="str">
        <f aca="true">OFFSET(ORÇAMENTO!N$15,$L53,0)</f>
        <v>Serviço</v>
      </c>
      <c r="E53" s="207" t="str">
        <f aca="true">OFFSET(ORÇAMENTO!O$15,$L53,0)</f>
        <v>-</v>
      </c>
      <c r="F53" s="343" t="str">
        <f aca="true">OFFSET(ORÇAMENTO!R$15,$L53,0)</f>
        <v>(Código não identificado nas referências)</v>
      </c>
      <c r="G53" s="344" t="str">
        <f aca="true">IF($D53&lt;&gt;"Serviço","",OFFSET(ORÇAMENTO!S$15,$L53,0))</f>
        <v>M2</v>
      </c>
      <c r="H53" s="212" t="n">
        <f aca="true" t="array" ref="H53:H53">IF($D53&lt;&gt;"Serviço",0,IF(ACOMPANHAMENTO="BM",ROUND(OFFSET(ORÇAMENTO!AJ$15,$L53,0),15-13*ORÇAMENTO!$AF$7),IF(IFERROR(CÁLCULO.FrentesPreenchidas,0)=0,0,SUM(ROUND(OFFSET($P53,0,1,1,CÁLCULO.FrentesPreenchidas),15-13*ORÇAMENTO!$AF$7)))))</f>
        <v>250</v>
      </c>
      <c r="I53" s="345" t="s">
        <v>913</v>
      </c>
      <c r="J53" s="346" t="str">
        <f aca="false" t="array" ref="J53:J53">IF(OR(B53&lt;&gt;"S",CÁLCULO.FrentesPreenchidas=0),"",IF(AND(ACOMPANHAMENTO="PLE",AUTOEVENTO="Manual",OR(H53&gt;0,ORÇAMENTO!AC53="QUANT."),OR(K53="",M53=0,N53="")),"►E",IF(AND(ACOMPANHAMENTO="PLE",ORÇAMENTO!AC53="QUANT."),"►Q",IF(AND(ACOMPANHAMENTO="PLE",H53&lt;&gt;SUMPRODUCT(($Q$1:$AA$1=1)*ROUND(Q53:AA53,15))),"►S",IF(AND(COUNTIF($P$11:$AA$11,"▼")=0,H53&gt;0,I53=""),"◄M","")))))</f>
        <v/>
      </c>
      <c r="K53" s="347"/>
      <c r="L53" s="348" t="n">
        <f aca="true">OFFSET(L53,-1,0)+1</f>
        <v>38</v>
      </c>
      <c r="M53" s="349" t="n">
        <f aca="true">IF($D53&lt;&gt;"Serviço","",
          IF(AUTOEVENTO="manual",$A53,
                IF(ISERROR(MATCH($A53,$A$15:OFFSET($A53,-1,0),0)),MAX($M$15:OFFSET(M53,-1,0))+1,
                      INDEX($M$15:OFFSET(M53,-1,0),MATCH($A53,$A$15:OFFSET($A53,-1,0),0)))))</f>
        <v>10</v>
      </c>
      <c r="N53" s="350" t="str">
        <f aca="true">IF($D53&lt;&gt;"Serviço","",
         IF(AUTOEVENTO="Manual",
                IF($A53=0,"&lt;-- defina o número do agrupador",
                       OFFSET(EVENTOS!$D$15,$A53-$A$15,0)),
                OFFSET($F$15,$A53,0)))</f>
        <v>PAISAGISMO</v>
      </c>
      <c r="O53" s="351"/>
      <c r="Q53" s="351"/>
      <c r="R53" s="352"/>
      <c r="S53" s="352"/>
      <c r="T53" s="352"/>
      <c r="U53" s="352"/>
      <c r="V53" s="352"/>
      <c r="W53" s="352"/>
      <c r="X53" s="352"/>
      <c r="Y53" s="352"/>
      <c r="Z53" s="353"/>
      <c r="AB53" s="354" t="n">
        <f aca="true">IF(AND($D53="Serviço",AB$12&lt;&gt;0,$H53&gt;0,OR(AUTOEVENTO&lt;&gt;"manual",$M53&lt;&gt;$A$15)),
        IF(Import.TipoArredondamento&lt;&gt;"TransfereGOV",
              ROUND(OFFSET($P53,0,AB$13),15-13*ORÇAMENTO!$AF$7)/$H53*OFFSET(ORÇAMENTO!$X$15,ROW(AB53)-ROW(AB$15),0),
              ROUND(ROUND(OFFSET($P53,0,AB$13),15-13*ORÇAMENTO!$AF$7)*OFFSET(ORÇAMENTO!$W$15,ROW(AB53)-ROW(AB$15),0),15-13*ORÇAMENTO!$AF$11)),
         0)</f>
        <v>0</v>
      </c>
      <c r="AC53" s="354" t="n">
        <f aca="true">IF(AND($D53="Serviço",AC$12&lt;&gt;0,$H53&gt;0,OR(AUTOEVENTO&lt;&gt;"manual",$M53&lt;&gt;$A$15)),
        IF(Import.TipoArredondamento&lt;&gt;"TransfereGOV",
              ROUND(OFFSET($P53,0,AC$13),15-13*ORÇAMENTO!$AF$7)/$H53*OFFSET(ORÇAMENTO!$X$15,ROW(AC53)-ROW(AC$15),0),
              ROUND(ROUND(OFFSET($P53,0,AC$13),15-13*ORÇAMENTO!$AF$7)*OFFSET(ORÇAMENTO!$W$15,ROW(AC53)-ROW(AC$15),0),15-13*ORÇAMENTO!$AF$11)),
         0)</f>
        <v>0</v>
      </c>
      <c r="AD53" s="354" t="n">
        <f aca="true">IF(AND($D53="Serviço",AD$12&lt;&gt;0,$H53&gt;0,OR(AUTOEVENTO&lt;&gt;"manual",$M53&lt;&gt;$A$15)),
        IF(Import.TipoArredondamento&lt;&gt;"TransfereGOV",
              ROUND(OFFSET($P53,0,AD$13),15-13*ORÇAMENTO!$AF$7)/$H53*OFFSET(ORÇAMENTO!$X$15,ROW(AD53)-ROW(AD$15),0),
              ROUND(ROUND(OFFSET($P53,0,AD$13),15-13*ORÇAMENTO!$AF$7)*OFFSET(ORÇAMENTO!$W$15,ROW(AD53)-ROW(AD$15),0),15-13*ORÇAMENTO!$AF$11)),
         0)</f>
        <v>0</v>
      </c>
      <c r="AE53" s="354" t="n">
        <f aca="true">IF(AND($D53="Serviço",AE$12&lt;&gt;0,$H53&gt;0,OR(AUTOEVENTO&lt;&gt;"manual",$M53&lt;&gt;$A$15)),
        IF(Import.TipoArredondamento&lt;&gt;"TransfereGOV",
              ROUND(OFFSET($P53,0,AE$13),15-13*ORÇAMENTO!$AF$7)/$H53*OFFSET(ORÇAMENTO!$X$15,ROW(AE53)-ROW(AE$15),0),
              ROUND(ROUND(OFFSET($P53,0,AE$13),15-13*ORÇAMENTO!$AF$7)*OFFSET(ORÇAMENTO!$W$15,ROW(AE53)-ROW(AE$15),0),15-13*ORÇAMENTO!$AF$11)),
         0)</f>
        <v>0</v>
      </c>
      <c r="AF53" s="354" t="n">
        <f aca="true">IF(AND($D53="Serviço",AF$12&lt;&gt;0,$H53&gt;0,OR(AUTOEVENTO&lt;&gt;"manual",$M53&lt;&gt;$A$15)),
        IF(Import.TipoArredondamento&lt;&gt;"TransfereGOV",
              ROUND(OFFSET($P53,0,AF$13),15-13*ORÇAMENTO!$AF$7)/$H53*OFFSET(ORÇAMENTO!$X$15,ROW(AF53)-ROW(AF$15),0),
              ROUND(ROUND(OFFSET($P53,0,AF$13),15-13*ORÇAMENTO!$AF$7)*OFFSET(ORÇAMENTO!$W$15,ROW(AF53)-ROW(AF$15),0),15-13*ORÇAMENTO!$AF$11)),
         0)</f>
        <v>0</v>
      </c>
      <c r="AG53" s="354" t="n">
        <f aca="true">IF(AND($D53="Serviço",AG$12&lt;&gt;0,$H53&gt;0,OR(AUTOEVENTO&lt;&gt;"manual",$M53&lt;&gt;$A$15)),
        IF(Import.TipoArredondamento&lt;&gt;"TransfereGOV",
              ROUND(OFFSET($P53,0,AG$13),15-13*ORÇAMENTO!$AF$7)/$H53*OFFSET(ORÇAMENTO!$X$15,ROW(AG53)-ROW(AG$15),0),
              ROUND(ROUND(OFFSET($P53,0,AG$13),15-13*ORÇAMENTO!$AF$7)*OFFSET(ORÇAMENTO!$W$15,ROW(AG53)-ROW(AG$15),0),15-13*ORÇAMENTO!$AF$11)),
         0)</f>
        <v>0</v>
      </c>
      <c r="AH53" s="354" t="n">
        <f aca="true">IF(AND($D53="Serviço",AH$12&lt;&gt;0,$H53&gt;0,OR(AUTOEVENTO&lt;&gt;"manual",$M53&lt;&gt;$A$15)),
        IF(Import.TipoArredondamento&lt;&gt;"TransfereGOV",
              ROUND(OFFSET($P53,0,AH$13),15-13*ORÇAMENTO!$AF$7)/$H53*OFFSET(ORÇAMENTO!$X$15,ROW(AH53)-ROW(AH$15),0),
              ROUND(ROUND(OFFSET($P53,0,AH$13),15-13*ORÇAMENTO!$AF$7)*OFFSET(ORÇAMENTO!$W$15,ROW(AH53)-ROW(AH$15),0),15-13*ORÇAMENTO!$AF$11)),
         0)</f>
        <v>0</v>
      </c>
      <c r="AI53" s="354" t="n">
        <f aca="true">IF(AND($D53="Serviço",AI$12&lt;&gt;0,$H53&gt;0,OR(AUTOEVENTO&lt;&gt;"manual",$M53&lt;&gt;$A$15)),
        IF(Import.TipoArredondamento&lt;&gt;"TransfereGOV",
              ROUND(OFFSET($P53,0,AI$13),15-13*ORÇAMENTO!$AF$7)/$H53*OFFSET(ORÇAMENTO!$X$15,ROW(AI53)-ROW(AI$15),0),
              ROUND(ROUND(OFFSET($P53,0,AI$13),15-13*ORÇAMENTO!$AF$7)*OFFSET(ORÇAMENTO!$W$15,ROW(AI53)-ROW(AI$15),0),15-13*ORÇAMENTO!$AF$11)),
         0)</f>
        <v>0</v>
      </c>
      <c r="AJ53" s="354" t="n">
        <f aca="true">IF(AND($D53="Serviço",AJ$12&lt;&gt;0,$H53&gt;0,OR(AUTOEVENTO&lt;&gt;"manual",$M53&lt;&gt;$A$15)),
        IF(Import.TipoArredondamento&lt;&gt;"TransfereGOV",
              ROUND(OFFSET($P53,0,AJ$13),15-13*ORÇAMENTO!$AF$7)/$H53*OFFSET(ORÇAMENTO!$X$15,ROW(AJ53)-ROW(AJ$15),0),
              ROUND(ROUND(OFFSET($P53,0,AJ$13),15-13*ORÇAMENTO!$AF$7)*OFFSET(ORÇAMENTO!$W$15,ROW(AJ53)-ROW(AJ$15),0),15-13*ORÇAMENTO!$AF$11)),
         0)</f>
        <v>0</v>
      </c>
      <c r="AK53" s="354" t="n">
        <f aca="true">IF(AND($D53="Serviço",AK$12&lt;&gt;0,$H53&gt;0,OR(AUTOEVENTO&lt;&gt;"manual",$M53&lt;&gt;$A$15)),
        IF(Import.TipoArredondamento&lt;&gt;"TransfereGOV",
              ROUND(OFFSET($P53,0,AK$13),15-13*ORÇAMENTO!$AF$7)/$H53*OFFSET(ORÇAMENTO!$X$15,ROW(AK53)-ROW(AK$15),0),
              ROUND(ROUND(OFFSET($P53,0,AK$13),15-13*ORÇAMENTO!$AF$7)*OFFSET(ORÇAMENTO!$W$15,ROW(AK53)-ROW(AK$15),0),15-13*ORÇAMENTO!$AF$11)),
         0)</f>
        <v>0</v>
      </c>
      <c r="AM53" s="355" t="n">
        <f aca="true">IF(OR($D53&lt;&gt;"Serviço",AND(AUTOEVENTO="Manual",$M53=$A$15)),0,
         IF(OFFSET(CRONOPLE!$F$15,$M53-$A$15,AM$13)=0,10^12,OFFSET(CRONOPLE!$F$15,$M53-$A$15,AM$13)))</f>
        <v>1000000000000</v>
      </c>
      <c r="AN53" s="355" t="n">
        <f aca="true">IF(OR($D53&lt;&gt;"Serviço",AND(AUTOEVENTO="Manual",$M53=$A$15)),0,
         IF(OFFSET(CRONOPLE!$F$15,$M53-$A$15,AN$13)=0,10^12,OFFSET(CRONOPLE!$F$15,$M53-$A$15,AN$13)))</f>
        <v>1000000000000</v>
      </c>
      <c r="AO53" s="355" t="n">
        <f aca="true">IF(OR($D53&lt;&gt;"Serviço",AND(AUTOEVENTO="Manual",$M53=$A$15)),0,
         IF(OFFSET(CRONOPLE!$F$15,$M53-$A$15,AO$13)=0,10^12,OFFSET(CRONOPLE!$F$15,$M53-$A$15,AO$13)))</f>
        <v>1000000000000</v>
      </c>
      <c r="AP53" s="355" t="n">
        <f aca="true">IF(OR($D53&lt;&gt;"Serviço",AND(AUTOEVENTO="Manual",$M53=$A$15)),0,
         IF(OFFSET(CRONOPLE!$F$15,$M53-$A$15,AP$13)=0,10^12,OFFSET(CRONOPLE!$F$15,$M53-$A$15,AP$13)))</f>
        <v>1000000000000</v>
      </c>
      <c r="AQ53" s="355" t="n">
        <f aca="true">IF(OR($D53&lt;&gt;"Serviço",AND(AUTOEVENTO="Manual",$M53=$A$15)),0,
         IF(OFFSET(CRONOPLE!$F$15,$M53-$A$15,AQ$13)=0,10^12,OFFSET(CRONOPLE!$F$15,$M53-$A$15,AQ$13)))</f>
        <v>1000000000000</v>
      </c>
      <c r="AR53" s="355" t="n">
        <f aca="true">IF(OR($D53&lt;&gt;"Serviço",AND(AUTOEVENTO="Manual",$M53=$A$15)),0,
         IF(OFFSET(CRONOPLE!$F$15,$M53-$A$15,AR$13)=0,10^12,OFFSET(CRONOPLE!$F$15,$M53-$A$15,AR$13)))</f>
        <v>1000000000000</v>
      </c>
      <c r="AS53" s="355" t="n">
        <f aca="true">IF(OR($D53&lt;&gt;"Serviço",AND(AUTOEVENTO="Manual",$M53=$A$15)),0,
         IF(OFFSET(CRONOPLE!$F$15,$M53-$A$15,AS$13)=0,10^12,OFFSET(CRONOPLE!$F$15,$M53-$A$15,AS$13)))</f>
        <v>1000000000000</v>
      </c>
      <c r="AT53" s="355" t="n">
        <f aca="true">IF(OR($D53&lt;&gt;"Serviço",AND(AUTOEVENTO="Manual",$M53=$A$15)),0,
         IF(OFFSET(CRONOPLE!$F$15,$M53-$A$15,AT$13)=0,10^12,OFFSET(CRONOPLE!$F$15,$M53-$A$15,AT$13)))</f>
        <v>1000000000000</v>
      </c>
      <c r="AU53" s="355" t="n">
        <f aca="true">IF(OR($D53&lt;&gt;"Serviço",AND(AUTOEVENTO="Manual",$M53=$A$15)),0,
         IF(OFFSET(CRONOPLE!$F$15,$M53-$A$15,AU$13)=0,10^12,OFFSET(CRONOPLE!$F$15,$M53-$A$15,AU$13)))</f>
        <v>1000000000000</v>
      </c>
      <c r="AV53" s="355" t="n">
        <f aca="true">IF(OR($D53&lt;&gt;"Serviço",AND(AUTOEVENTO="Manual",$M53=$A$15)),0,
         IF(OFFSET(CRONOPLE!$F$15,$M53-$A$15,AV$13)=0,10^12,OFFSET(CRONOPLE!$F$15,$M53-$A$15,AV$13)))</f>
        <v>1000000000000</v>
      </c>
      <c r="AX53" s="356" t="n">
        <f aca="true" t="array" ref="AX53:AX53">IF(OR($D53&lt;&gt;"Serviço",AND(AUTOEVENTO="Manual",$M53=$A$15),$M53&gt;(ROW(PLE.lastrow)-ROW(PLE.firstrow))),0,
           IF(OFFSET(PLE!$G$15,$M53-$A$15,AX$13)="",10^12,OFFSET(PLE!$G$15,$M53-$A$15,AX$13)))</f>
        <v>1000000000000</v>
      </c>
      <c r="AY53" s="356" t="n">
        <f aca="true" t="array" ref="AY53:AY53">IF(OR($D53&lt;&gt;"Serviço",AND(AUTOEVENTO="Manual",$M53=$A$15),$M53&gt;(ROW(PLE.lastrow)-ROW(PLE.firstrow))),0,
           IF(OFFSET(PLE!$G$15,$M53-$A$15,AY$13)="",10^12,OFFSET(PLE!$G$15,$M53-$A$15,AY$13)))</f>
        <v>1000000000000</v>
      </c>
      <c r="AZ53" s="356" t="n">
        <f aca="true" t="array" ref="AZ53:AZ53">IF(OR($D53&lt;&gt;"Serviço",AND(AUTOEVENTO="Manual",$M53=$A$15),$M53&gt;(ROW(PLE.lastrow)-ROW(PLE.firstrow))),0,
           IF(OFFSET(PLE!$G$15,$M53-$A$15,AZ$13)="",10^12,OFFSET(PLE!$G$15,$M53-$A$15,AZ$13)))</f>
        <v>1000000000000</v>
      </c>
      <c r="BA53" s="356" t="n">
        <f aca="true" t="array" ref="BA53:BA53">IF(OR($D53&lt;&gt;"Serviço",AND(AUTOEVENTO="Manual",$M53=$A$15),$M53&gt;(ROW(PLE.lastrow)-ROW(PLE.firstrow))),0,
           IF(OFFSET(PLE!$G$15,$M53-$A$15,BA$13)="",10^12,OFFSET(PLE!$G$15,$M53-$A$15,BA$13)))</f>
        <v>1000000000000</v>
      </c>
      <c r="BB53" s="356" t="n">
        <f aca="true" t="array" ref="BB53:BB53">IF(OR($D53&lt;&gt;"Serviço",AND(AUTOEVENTO="Manual",$M53=$A$15),$M53&gt;(ROW(PLE.lastrow)-ROW(PLE.firstrow))),0,
           IF(OFFSET(PLE!$G$15,$M53-$A$15,BB$13)="",10^12,OFFSET(PLE!$G$15,$M53-$A$15,BB$13)))</f>
        <v>1000000000000</v>
      </c>
      <c r="BC53" s="356" t="n">
        <f aca="true" t="array" ref="BC53:BC53">IF(OR($D53&lt;&gt;"Serviço",AND(AUTOEVENTO="Manual",$M53=$A$15),$M53&gt;(ROW(PLE.lastrow)-ROW(PLE.firstrow))),0,
           IF(OFFSET(PLE!$G$15,$M53-$A$15,BC$13)="",10^12,OFFSET(PLE!$G$15,$M53-$A$15,BC$13)))</f>
        <v>1000000000000</v>
      </c>
      <c r="BD53" s="356" t="n">
        <f aca="true" t="array" ref="BD53:BD53">IF(OR($D53&lt;&gt;"Serviço",AND(AUTOEVENTO="Manual",$M53=$A$15),$M53&gt;(ROW(PLE.lastrow)-ROW(PLE.firstrow))),0,
           IF(OFFSET(PLE!$G$15,$M53-$A$15,BD$13)="",10^12,OFFSET(PLE!$G$15,$M53-$A$15,BD$13)))</f>
        <v>1000000000000</v>
      </c>
      <c r="BE53" s="356" t="n">
        <f aca="true" t="array" ref="BE53:BE53">IF(OR($D53&lt;&gt;"Serviço",AND(AUTOEVENTO="Manual",$M53=$A$15),$M53&gt;(ROW(PLE.lastrow)-ROW(PLE.firstrow))),0,
           IF(OFFSET(PLE!$G$15,$M53-$A$15,BE$13)="",10^12,OFFSET(PLE!$G$15,$M53-$A$15,BE$13)))</f>
        <v>1000000000000</v>
      </c>
      <c r="BF53" s="356" t="n">
        <f aca="true" t="array" ref="BF53:BF53">IF(OR($D53&lt;&gt;"Serviço",AND(AUTOEVENTO="Manual",$M53=$A$15),$M53&gt;(ROW(PLE.lastrow)-ROW(PLE.firstrow))),0,
           IF(OFFSET(PLE!$G$15,$M53-$A$15,BF$13)="",10^12,OFFSET(PLE!$G$15,$M53-$A$15,BF$13)))</f>
        <v>1000000000000</v>
      </c>
      <c r="BG53" s="356" t="n">
        <f aca="true" t="array" ref="BG53:BG53">IF(OR($D53&lt;&gt;"Serviço",AND(AUTOEVENTO="Manual",$M53=$A$15),$M53&gt;(ROW(PLE.lastrow)-ROW(PLE.firstrow))),0,
           IF(OFFSET(PLE!$G$15,$M53-$A$15,BG$13)="",10^12,OFFSET(PLE!$G$15,$M53-$A$15,BG$13)))</f>
        <v>1000000000000</v>
      </c>
    </row>
    <row r="54" customFormat="false" ht="12.75" hidden="false" customHeight="false" outlineLevel="0" collapsed="false">
      <c r="A54" s="48" t="str">
        <f aca="true">IFERROR(IF(AUTOEVENTO="Manual",IF(K54&lt;&gt;"",MIN(VALUE(LEFT(K54,FIND(".",K54)-1)),COUNTA(EVENTOS.Lista)),0),IF(OR($B54&gt;AUTOEVENTO,$B54="S",$B54=0),SUBSTITUTE(OFFSET($A54,-1,0),IF($D54="Serviço",".",""),""),$L54&amp;".")),0)</f>
        <v>37</v>
      </c>
      <c r="B54" s="48" t="str">
        <f aca="true">OFFSET(ORÇAMENTO!C$15,$L54,0)</f>
        <v>S</v>
      </c>
      <c r="C54" s="48" t="str">
        <f aca="true">OFFSET(ORÇAMENTO!L$15,$L54,0)</f>
        <v/>
      </c>
      <c r="D54" s="206" t="str">
        <f aca="true">OFFSET(ORÇAMENTO!N$15,$L54,0)</f>
        <v>Serviço</v>
      </c>
      <c r="E54" s="207" t="str">
        <f aca="true">OFFSET(ORÇAMENTO!O$15,$L54,0)</f>
        <v>-</v>
      </c>
      <c r="F54" s="343" t="str">
        <f aca="true">OFFSET(ORÇAMENTO!R$15,$L54,0)</f>
        <v>(Código não identificado nas referências)</v>
      </c>
      <c r="G54" s="344" t="str">
        <f aca="true">IF($D54&lt;&gt;"Serviço","",OFFSET(ORÇAMENTO!S$15,$L54,0))</f>
        <v>-</v>
      </c>
      <c r="H54" s="212" t="n">
        <f aca="true" t="array" ref="H54:H54">IF($D54&lt;&gt;"Serviço",0,IF(ACOMPANHAMENTO="BM",ROUND(OFFSET(ORÇAMENTO!AJ$15,$L54,0),15-13*ORÇAMENTO!$AF$7),IF(IFERROR(CÁLCULO.FrentesPreenchidas,0)=0,0,SUM(ROUND(OFFSET($P54,0,1,1,CÁLCULO.FrentesPreenchidas),15-13*ORÇAMENTO!$AF$7)))))</f>
        <v>50</v>
      </c>
      <c r="I54" s="345" t="s">
        <v>914</v>
      </c>
      <c r="J54" s="346" t="str">
        <f aca="false" t="array" ref="J54:J54">IF(OR(B54&lt;&gt;"S",CÁLCULO.FrentesPreenchidas=0),"",IF(AND(ACOMPANHAMENTO="PLE",AUTOEVENTO="Manual",OR(H54&gt;0,ORÇAMENTO!AC54="QUANT."),OR(K54="",M54=0,N54="")),"►E",IF(AND(ACOMPANHAMENTO="PLE",ORÇAMENTO!AC54="QUANT."),"►Q",IF(AND(ACOMPANHAMENTO="PLE",H54&lt;&gt;SUMPRODUCT(($Q$1:$AA$1=1)*ROUND(Q54:AA54,15))),"►S",IF(AND(COUNTIF($P$11:$AA$11,"▼")=0,H54&gt;0,I54=""),"◄M","")))))</f>
        <v/>
      </c>
      <c r="K54" s="347"/>
      <c r="L54" s="348" t="n">
        <f aca="true">OFFSET(L54,-1,0)+1</f>
        <v>39</v>
      </c>
      <c r="M54" s="349" t="n">
        <f aca="true">IF($D54&lt;&gt;"Serviço","",
          IF(AUTOEVENTO="manual",$A54,
                IF(ISERROR(MATCH($A54,$A$15:OFFSET($A54,-1,0),0)),MAX($M$15:OFFSET(M54,-1,0))+1,
                      INDEX($M$15:OFFSET(M54,-1,0),MATCH($A54,$A$15:OFFSET($A54,-1,0),0)))))</f>
        <v>10</v>
      </c>
      <c r="N54" s="350" t="str">
        <f aca="true">IF($D54&lt;&gt;"Serviço","",
         IF(AUTOEVENTO="Manual",
                IF($A54=0,"&lt;-- defina o número do agrupador",
                       OFFSET(EVENTOS!$D$15,$A54-$A$15,0)),
                OFFSET($F$15,$A54,0)))</f>
        <v>PAISAGISMO</v>
      </c>
      <c r="O54" s="351"/>
      <c r="Q54" s="351"/>
      <c r="R54" s="352"/>
      <c r="S54" s="352"/>
      <c r="T54" s="352"/>
      <c r="U54" s="352"/>
      <c r="V54" s="352"/>
      <c r="W54" s="352"/>
      <c r="X54" s="352"/>
      <c r="Y54" s="352"/>
      <c r="Z54" s="353"/>
      <c r="AB54" s="354" t="n">
        <f aca="true">IF(AND($D54="Serviço",AB$12&lt;&gt;0,$H54&gt;0,OR(AUTOEVENTO&lt;&gt;"manual",$M54&lt;&gt;$A$15)),
        IF(Import.TipoArredondamento&lt;&gt;"TransfereGOV",
              ROUND(OFFSET($P54,0,AB$13),15-13*ORÇAMENTO!$AF$7)/$H54*OFFSET(ORÇAMENTO!$X$15,ROW(AB54)-ROW(AB$15),0),
              ROUND(ROUND(OFFSET($P54,0,AB$13),15-13*ORÇAMENTO!$AF$7)*OFFSET(ORÇAMENTO!$W$15,ROW(AB54)-ROW(AB$15),0),15-13*ORÇAMENTO!$AF$11)),
         0)</f>
        <v>0</v>
      </c>
      <c r="AC54" s="354" t="n">
        <f aca="true">IF(AND($D54="Serviço",AC$12&lt;&gt;0,$H54&gt;0,OR(AUTOEVENTO&lt;&gt;"manual",$M54&lt;&gt;$A$15)),
        IF(Import.TipoArredondamento&lt;&gt;"TransfereGOV",
              ROUND(OFFSET($P54,0,AC$13),15-13*ORÇAMENTO!$AF$7)/$H54*OFFSET(ORÇAMENTO!$X$15,ROW(AC54)-ROW(AC$15),0),
              ROUND(ROUND(OFFSET($P54,0,AC$13),15-13*ORÇAMENTO!$AF$7)*OFFSET(ORÇAMENTO!$W$15,ROW(AC54)-ROW(AC$15),0),15-13*ORÇAMENTO!$AF$11)),
         0)</f>
        <v>0</v>
      </c>
      <c r="AD54" s="354" t="n">
        <f aca="true">IF(AND($D54="Serviço",AD$12&lt;&gt;0,$H54&gt;0,OR(AUTOEVENTO&lt;&gt;"manual",$M54&lt;&gt;$A$15)),
        IF(Import.TipoArredondamento&lt;&gt;"TransfereGOV",
              ROUND(OFFSET($P54,0,AD$13),15-13*ORÇAMENTO!$AF$7)/$H54*OFFSET(ORÇAMENTO!$X$15,ROW(AD54)-ROW(AD$15),0),
              ROUND(ROUND(OFFSET($P54,0,AD$13),15-13*ORÇAMENTO!$AF$7)*OFFSET(ORÇAMENTO!$W$15,ROW(AD54)-ROW(AD$15),0),15-13*ORÇAMENTO!$AF$11)),
         0)</f>
        <v>0</v>
      </c>
      <c r="AE54" s="354" t="n">
        <f aca="true">IF(AND($D54="Serviço",AE$12&lt;&gt;0,$H54&gt;0,OR(AUTOEVENTO&lt;&gt;"manual",$M54&lt;&gt;$A$15)),
        IF(Import.TipoArredondamento&lt;&gt;"TransfereGOV",
              ROUND(OFFSET($P54,0,AE$13),15-13*ORÇAMENTO!$AF$7)/$H54*OFFSET(ORÇAMENTO!$X$15,ROW(AE54)-ROW(AE$15),0),
              ROUND(ROUND(OFFSET($P54,0,AE$13),15-13*ORÇAMENTO!$AF$7)*OFFSET(ORÇAMENTO!$W$15,ROW(AE54)-ROW(AE$15),0),15-13*ORÇAMENTO!$AF$11)),
         0)</f>
        <v>0</v>
      </c>
      <c r="AF54" s="354" t="n">
        <f aca="true">IF(AND($D54="Serviço",AF$12&lt;&gt;0,$H54&gt;0,OR(AUTOEVENTO&lt;&gt;"manual",$M54&lt;&gt;$A$15)),
        IF(Import.TipoArredondamento&lt;&gt;"TransfereGOV",
              ROUND(OFFSET($P54,0,AF$13),15-13*ORÇAMENTO!$AF$7)/$H54*OFFSET(ORÇAMENTO!$X$15,ROW(AF54)-ROW(AF$15),0),
              ROUND(ROUND(OFFSET($P54,0,AF$13),15-13*ORÇAMENTO!$AF$7)*OFFSET(ORÇAMENTO!$W$15,ROW(AF54)-ROW(AF$15),0),15-13*ORÇAMENTO!$AF$11)),
         0)</f>
        <v>0</v>
      </c>
      <c r="AG54" s="354" t="n">
        <f aca="true">IF(AND($D54="Serviço",AG$12&lt;&gt;0,$H54&gt;0,OR(AUTOEVENTO&lt;&gt;"manual",$M54&lt;&gt;$A$15)),
        IF(Import.TipoArredondamento&lt;&gt;"TransfereGOV",
              ROUND(OFFSET($P54,0,AG$13),15-13*ORÇAMENTO!$AF$7)/$H54*OFFSET(ORÇAMENTO!$X$15,ROW(AG54)-ROW(AG$15),0),
              ROUND(ROUND(OFFSET($P54,0,AG$13),15-13*ORÇAMENTO!$AF$7)*OFFSET(ORÇAMENTO!$W$15,ROW(AG54)-ROW(AG$15),0),15-13*ORÇAMENTO!$AF$11)),
         0)</f>
        <v>0</v>
      </c>
      <c r="AH54" s="354" t="n">
        <f aca="true">IF(AND($D54="Serviço",AH$12&lt;&gt;0,$H54&gt;0,OR(AUTOEVENTO&lt;&gt;"manual",$M54&lt;&gt;$A$15)),
        IF(Import.TipoArredondamento&lt;&gt;"TransfereGOV",
              ROUND(OFFSET($P54,0,AH$13),15-13*ORÇAMENTO!$AF$7)/$H54*OFFSET(ORÇAMENTO!$X$15,ROW(AH54)-ROW(AH$15),0),
              ROUND(ROUND(OFFSET($P54,0,AH$13),15-13*ORÇAMENTO!$AF$7)*OFFSET(ORÇAMENTO!$W$15,ROW(AH54)-ROW(AH$15),0),15-13*ORÇAMENTO!$AF$11)),
         0)</f>
        <v>0</v>
      </c>
      <c r="AI54" s="354" t="n">
        <f aca="true">IF(AND($D54="Serviço",AI$12&lt;&gt;0,$H54&gt;0,OR(AUTOEVENTO&lt;&gt;"manual",$M54&lt;&gt;$A$15)),
        IF(Import.TipoArredondamento&lt;&gt;"TransfereGOV",
              ROUND(OFFSET($P54,0,AI$13),15-13*ORÇAMENTO!$AF$7)/$H54*OFFSET(ORÇAMENTO!$X$15,ROW(AI54)-ROW(AI$15),0),
              ROUND(ROUND(OFFSET($P54,0,AI$13),15-13*ORÇAMENTO!$AF$7)*OFFSET(ORÇAMENTO!$W$15,ROW(AI54)-ROW(AI$15),0),15-13*ORÇAMENTO!$AF$11)),
         0)</f>
        <v>0</v>
      </c>
      <c r="AJ54" s="354" t="n">
        <f aca="true">IF(AND($D54="Serviço",AJ$12&lt;&gt;0,$H54&gt;0,OR(AUTOEVENTO&lt;&gt;"manual",$M54&lt;&gt;$A$15)),
        IF(Import.TipoArredondamento&lt;&gt;"TransfereGOV",
              ROUND(OFFSET($P54,0,AJ$13),15-13*ORÇAMENTO!$AF$7)/$H54*OFFSET(ORÇAMENTO!$X$15,ROW(AJ54)-ROW(AJ$15),0),
              ROUND(ROUND(OFFSET($P54,0,AJ$13),15-13*ORÇAMENTO!$AF$7)*OFFSET(ORÇAMENTO!$W$15,ROW(AJ54)-ROW(AJ$15),0),15-13*ORÇAMENTO!$AF$11)),
         0)</f>
        <v>0</v>
      </c>
      <c r="AK54" s="354" t="n">
        <f aca="true">IF(AND($D54="Serviço",AK$12&lt;&gt;0,$H54&gt;0,OR(AUTOEVENTO&lt;&gt;"manual",$M54&lt;&gt;$A$15)),
        IF(Import.TipoArredondamento&lt;&gt;"TransfereGOV",
              ROUND(OFFSET($P54,0,AK$13),15-13*ORÇAMENTO!$AF$7)/$H54*OFFSET(ORÇAMENTO!$X$15,ROW(AK54)-ROW(AK$15),0),
              ROUND(ROUND(OFFSET($P54,0,AK$13),15-13*ORÇAMENTO!$AF$7)*OFFSET(ORÇAMENTO!$W$15,ROW(AK54)-ROW(AK$15),0),15-13*ORÇAMENTO!$AF$11)),
         0)</f>
        <v>0</v>
      </c>
      <c r="AM54" s="355" t="n">
        <f aca="true">IF(OR($D54&lt;&gt;"Serviço",AND(AUTOEVENTO="Manual",$M54=$A$15)),0,
         IF(OFFSET(CRONOPLE!$F$15,$M54-$A$15,AM$13)=0,10^12,OFFSET(CRONOPLE!$F$15,$M54-$A$15,AM$13)))</f>
        <v>1000000000000</v>
      </c>
      <c r="AN54" s="355" t="n">
        <f aca="true">IF(OR($D54&lt;&gt;"Serviço",AND(AUTOEVENTO="Manual",$M54=$A$15)),0,
         IF(OFFSET(CRONOPLE!$F$15,$M54-$A$15,AN$13)=0,10^12,OFFSET(CRONOPLE!$F$15,$M54-$A$15,AN$13)))</f>
        <v>1000000000000</v>
      </c>
      <c r="AO54" s="355" t="n">
        <f aca="true">IF(OR($D54&lt;&gt;"Serviço",AND(AUTOEVENTO="Manual",$M54=$A$15)),0,
         IF(OFFSET(CRONOPLE!$F$15,$M54-$A$15,AO$13)=0,10^12,OFFSET(CRONOPLE!$F$15,$M54-$A$15,AO$13)))</f>
        <v>1000000000000</v>
      </c>
      <c r="AP54" s="355" t="n">
        <f aca="true">IF(OR($D54&lt;&gt;"Serviço",AND(AUTOEVENTO="Manual",$M54=$A$15)),0,
         IF(OFFSET(CRONOPLE!$F$15,$M54-$A$15,AP$13)=0,10^12,OFFSET(CRONOPLE!$F$15,$M54-$A$15,AP$13)))</f>
        <v>1000000000000</v>
      </c>
      <c r="AQ54" s="355" t="n">
        <f aca="true">IF(OR($D54&lt;&gt;"Serviço",AND(AUTOEVENTO="Manual",$M54=$A$15)),0,
         IF(OFFSET(CRONOPLE!$F$15,$M54-$A$15,AQ$13)=0,10^12,OFFSET(CRONOPLE!$F$15,$M54-$A$15,AQ$13)))</f>
        <v>1000000000000</v>
      </c>
      <c r="AR54" s="355" t="n">
        <f aca="true">IF(OR($D54&lt;&gt;"Serviço",AND(AUTOEVENTO="Manual",$M54=$A$15)),0,
         IF(OFFSET(CRONOPLE!$F$15,$M54-$A$15,AR$13)=0,10^12,OFFSET(CRONOPLE!$F$15,$M54-$A$15,AR$13)))</f>
        <v>1000000000000</v>
      </c>
      <c r="AS54" s="355" t="n">
        <f aca="true">IF(OR($D54&lt;&gt;"Serviço",AND(AUTOEVENTO="Manual",$M54=$A$15)),0,
         IF(OFFSET(CRONOPLE!$F$15,$M54-$A$15,AS$13)=0,10^12,OFFSET(CRONOPLE!$F$15,$M54-$A$15,AS$13)))</f>
        <v>1000000000000</v>
      </c>
      <c r="AT54" s="355" t="n">
        <f aca="true">IF(OR($D54&lt;&gt;"Serviço",AND(AUTOEVENTO="Manual",$M54=$A$15)),0,
         IF(OFFSET(CRONOPLE!$F$15,$M54-$A$15,AT$13)=0,10^12,OFFSET(CRONOPLE!$F$15,$M54-$A$15,AT$13)))</f>
        <v>1000000000000</v>
      </c>
      <c r="AU54" s="355" t="n">
        <f aca="true">IF(OR($D54&lt;&gt;"Serviço",AND(AUTOEVENTO="Manual",$M54=$A$15)),0,
         IF(OFFSET(CRONOPLE!$F$15,$M54-$A$15,AU$13)=0,10^12,OFFSET(CRONOPLE!$F$15,$M54-$A$15,AU$13)))</f>
        <v>1000000000000</v>
      </c>
      <c r="AV54" s="355" t="n">
        <f aca="true">IF(OR($D54&lt;&gt;"Serviço",AND(AUTOEVENTO="Manual",$M54=$A$15)),0,
         IF(OFFSET(CRONOPLE!$F$15,$M54-$A$15,AV$13)=0,10^12,OFFSET(CRONOPLE!$F$15,$M54-$A$15,AV$13)))</f>
        <v>1000000000000</v>
      </c>
      <c r="AX54" s="356" t="n">
        <f aca="true" t="array" ref="AX54:AX54">IF(OR($D54&lt;&gt;"Serviço",AND(AUTOEVENTO="Manual",$M54=$A$15),$M54&gt;(ROW(PLE.lastrow)-ROW(PLE.firstrow))),0,
           IF(OFFSET(PLE!$G$15,$M54-$A$15,AX$13)="",10^12,OFFSET(PLE!$G$15,$M54-$A$15,AX$13)))</f>
        <v>1000000000000</v>
      </c>
      <c r="AY54" s="356" t="n">
        <f aca="true" t="array" ref="AY54:AY54">IF(OR($D54&lt;&gt;"Serviço",AND(AUTOEVENTO="Manual",$M54=$A$15),$M54&gt;(ROW(PLE.lastrow)-ROW(PLE.firstrow))),0,
           IF(OFFSET(PLE!$G$15,$M54-$A$15,AY$13)="",10^12,OFFSET(PLE!$G$15,$M54-$A$15,AY$13)))</f>
        <v>1000000000000</v>
      </c>
      <c r="AZ54" s="356" t="n">
        <f aca="true" t="array" ref="AZ54:AZ54">IF(OR($D54&lt;&gt;"Serviço",AND(AUTOEVENTO="Manual",$M54=$A$15),$M54&gt;(ROW(PLE.lastrow)-ROW(PLE.firstrow))),0,
           IF(OFFSET(PLE!$G$15,$M54-$A$15,AZ$13)="",10^12,OFFSET(PLE!$G$15,$M54-$A$15,AZ$13)))</f>
        <v>1000000000000</v>
      </c>
      <c r="BA54" s="356" t="n">
        <f aca="true" t="array" ref="BA54:BA54">IF(OR($D54&lt;&gt;"Serviço",AND(AUTOEVENTO="Manual",$M54=$A$15),$M54&gt;(ROW(PLE.lastrow)-ROW(PLE.firstrow))),0,
           IF(OFFSET(PLE!$G$15,$M54-$A$15,BA$13)="",10^12,OFFSET(PLE!$G$15,$M54-$A$15,BA$13)))</f>
        <v>1000000000000</v>
      </c>
      <c r="BB54" s="356" t="n">
        <f aca="true" t="array" ref="BB54:BB54">IF(OR($D54&lt;&gt;"Serviço",AND(AUTOEVENTO="Manual",$M54=$A$15),$M54&gt;(ROW(PLE.lastrow)-ROW(PLE.firstrow))),0,
           IF(OFFSET(PLE!$G$15,$M54-$A$15,BB$13)="",10^12,OFFSET(PLE!$G$15,$M54-$A$15,BB$13)))</f>
        <v>1000000000000</v>
      </c>
      <c r="BC54" s="356" t="n">
        <f aca="true" t="array" ref="BC54:BC54">IF(OR($D54&lt;&gt;"Serviço",AND(AUTOEVENTO="Manual",$M54=$A$15),$M54&gt;(ROW(PLE.lastrow)-ROW(PLE.firstrow))),0,
           IF(OFFSET(PLE!$G$15,$M54-$A$15,BC$13)="",10^12,OFFSET(PLE!$G$15,$M54-$A$15,BC$13)))</f>
        <v>1000000000000</v>
      </c>
      <c r="BD54" s="356" t="n">
        <f aca="true" t="array" ref="BD54:BD54">IF(OR($D54&lt;&gt;"Serviço",AND(AUTOEVENTO="Manual",$M54=$A$15),$M54&gt;(ROW(PLE.lastrow)-ROW(PLE.firstrow))),0,
           IF(OFFSET(PLE!$G$15,$M54-$A$15,BD$13)="",10^12,OFFSET(PLE!$G$15,$M54-$A$15,BD$13)))</f>
        <v>1000000000000</v>
      </c>
      <c r="BE54" s="356" t="n">
        <f aca="true" t="array" ref="BE54:BE54">IF(OR($D54&lt;&gt;"Serviço",AND(AUTOEVENTO="Manual",$M54=$A$15),$M54&gt;(ROW(PLE.lastrow)-ROW(PLE.firstrow))),0,
           IF(OFFSET(PLE!$G$15,$M54-$A$15,BE$13)="",10^12,OFFSET(PLE!$G$15,$M54-$A$15,BE$13)))</f>
        <v>1000000000000</v>
      </c>
      <c r="BF54" s="356" t="n">
        <f aca="true" t="array" ref="BF54:BF54">IF(OR($D54&lt;&gt;"Serviço",AND(AUTOEVENTO="Manual",$M54=$A$15),$M54&gt;(ROW(PLE.lastrow)-ROW(PLE.firstrow))),0,
           IF(OFFSET(PLE!$G$15,$M54-$A$15,BF$13)="",10^12,OFFSET(PLE!$G$15,$M54-$A$15,BF$13)))</f>
        <v>1000000000000</v>
      </c>
      <c r="BG54" s="356" t="n">
        <f aca="true" t="array" ref="BG54:BG54">IF(OR($D54&lt;&gt;"Serviço",AND(AUTOEVENTO="Manual",$M54=$A$15),$M54&gt;(ROW(PLE.lastrow)-ROW(PLE.firstrow))),0,
           IF(OFFSET(PLE!$G$15,$M54-$A$15,BG$13)="",10^12,OFFSET(PLE!$G$15,$M54-$A$15,BG$13)))</f>
        <v>1000000000000</v>
      </c>
    </row>
    <row r="55" customFormat="false" ht="12.75" hidden="false" customHeight="false" outlineLevel="0" collapsed="false">
      <c r="A55" s="48" t="str">
        <f aca="true">IFERROR(IF(AUTOEVENTO="Manual",IF(K55&lt;&gt;"",MIN(VALUE(LEFT(K55,FIND(".",K55)-1)),COUNTA(EVENTOS.Lista)),0),IF(OR($B55&gt;AUTOEVENTO,$B55="S",$B55=0),SUBSTITUTE(OFFSET($A55,-1,0),IF($D55="Serviço",".",""),""),$L55&amp;".")),0)</f>
        <v>40.</v>
      </c>
      <c r="B55" s="48" t="n">
        <f aca="true">OFFSET(ORÇAMENTO!C$15,$L55,0)</f>
        <v>2</v>
      </c>
      <c r="C55" s="48" t="str">
        <f aca="true">OFFSET(ORÇAMENTO!L$15,$L55,0)</f>
        <v>F</v>
      </c>
      <c r="D55" s="206" t="str">
        <f aca="true">OFFSET(ORÇAMENTO!N$15,$L55,0)</f>
        <v>Nível 2</v>
      </c>
      <c r="E55" s="207" t="str">
        <f aca="true">OFFSET(ORÇAMENTO!O$15,$L55,0)</f>
        <v>1.11.</v>
      </c>
      <c r="F55" s="343" t="str">
        <f aca="true">OFFSET(ORÇAMENTO!R$15,$L55,0)</f>
        <v>ILUMINAÇÃO</v>
      </c>
      <c r="G55" s="344" t="str">
        <f aca="true">IF($D55&lt;&gt;"Serviço","",OFFSET(ORÇAMENTO!S$15,$L55,0))</f>
        <v/>
      </c>
      <c r="H55" s="212" t="n">
        <f aca="true" t="array" ref="H55:H55">IF($D55&lt;&gt;"Serviço",0,IF(ACOMPANHAMENTO="BM",ROUND(OFFSET(ORÇAMENTO!AJ$15,$L55,0),15-13*ORÇAMENTO!$AF$7),IF(IFERROR(CÁLCULO.FrentesPreenchidas,0)=0,0,SUM(ROUND(OFFSET($P55,0,1,1,CÁLCULO.FrentesPreenchidas),15-13*ORÇAMENTO!$AF$7)))))</f>
        <v>0</v>
      </c>
      <c r="I55" s="345"/>
      <c r="J55" s="346" t="str">
        <f aca="false" t="array" ref="J55:J55">IF(OR(B55&lt;&gt;"S",CÁLCULO.FrentesPreenchidas=0),"",IF(AND(ACOMPANHAMENTO="PLE",AUTOEVENTO="Manual",OR(H55&gt;0,ORÇAMENTO!AC55="QUANT."),OR(K55="",M55=0,N55="")),"►E",IF(AND(ACOMPANHAMENTO="PLE",ORÇAMENTO!AC55="QUANT."),"►Q",IF(AND(ACOMPANHAMENTO="PLE",H55&lt;&gt;SUMPRODUCT(($Q$1:$AA$1=1)*ROUND(Q55:AA55,15))),"►S",IF(AND(COUNTIF($P$11:$AA$11,"▼")=0,H55&gt;0,I55=""),"◄M","")))))</f>
        <v/>
      </c>
      <c r="K55" s="347"/>
      <c r="L55" s="348" t="n">
        <f aca="true">OFFSET(L55,-1,0)+1</f>
        <v>40</v>
      </c>
      <c r="M55" s="349" t="str">
        <f aca="true">IF($D55&lt;&gt;"Serviço","",
          IF(AUTOEVENTO="manual",$A55,
                IF(ISERROR(MATCH($A55,$A$15:OFFSET($A55,-1,0),0)),MAX($M$15:OFFSET(M55,-1,0))+1,
                      INDEX($M$15:OFFSET(M55,-1,0),MATCH($A55,$A$15:OFFSET($A55,-1,0),0)))))</f>
        <v/>
      </c>
      <c r="N55" s="350" t="str">
        <f aca="true">IF($D55&lt;&gt;"Serviço","",
         IF(AUTOEVENTO="Manual",
                IF($A55=0,"&lt;-- defina o número do agrupador",
                       OFFSET(EVENTOS!$D$15,$A55-$A$15,0)),
                OFFSET($F$15,$A55,0)))</f>
        <v/>
      </c>
      <c r="O55" s="351"/>
      <c r="Q55" s="351"/>
      <c r="R55" s="352"/>
      <c r="S55" s="352"/>
      <c r="T55" s="352"/>
      <c r="U55" s="352"/>
      <c r="V55" s="352"/>
      <c r="W55" s="352"/>
      <c r="X55" s="352"/>
      <c r="Y55" s="352"/>
      <c r="Z55" s="353"/>
      <c r="AB55" s="354" t="n">
        <f aca="true">IF(AND($D55="Serviço",AB$12&lt;&gt;0,$H55&gt;0,OR(AUTOEVENTO&lt;&gt;"manual",$M55&lt;&gt;$A$15)),
        IF(Import.TipoArredondamento&lt;&gt;"TransfereGOV",
              ROUND(OFFSET($P55,0,AB$13),15-13*ORÇAMENTO!$AF$7)/$H55*OFFSET(ORÇAMENTO!$X$15,ROW(AB55)-ROW(AB$15),0),
              ROUND(ROUND(OFFSET($P55,0,AB$13),15-13*ORÇAMENTO!$AF$7)*OFFSET(ORÇAMENTO!$W$15,ROW(AB55)-ROW(AB$15),0),15-13*ORÇAMENTO!$AF$11)),
         0)</f>
        <v>0</v>
      </c>
      <c r="AC55" s="354" t="n">
        <f aca="true">IF(AND($D55="Serviço",AC$12&lt;&gt;0,$H55&gt;0,OR(AUTOEVENTO&lt;&gt;"manual",$M55&lt;&gt;$A$15)),
        IF(Import.TipoArredondamento&lt;&gt;"TransfereGOV",
              ROUND(OFFSET($P55,0,AC$13),15-13*ORÇAMENTO!$AF$7)/$H55*OFFSET(ORÇAMENTO!$X$15,ROW(AC55)-ROW(AC$15),0),
              ROUND(ROUND(OFFSET($P55,0,AC$13),15-13*ORÇAMENTO!$AF$7)*OFFSET(ORÇAMENTO!$W$15,ROW(AC55)-ROW(AC$15),0),15-13*ORÇAMENTO!$AF$11)),
         0)</f>
        <v>0</v>
      </c>
      <c r="AD55" s="354" t="n">
        <f aca="true">IF(AND($D55="Serviço",AD$12&lt;&gt;0,$H55&gt;0,OR(AUTOEVENTO&lt;&gt;"manual",$M55&lt;&gt;$A$15)),
        IF(Import.TipoArredondamento&lt;&gt;"TransfereGOV",
              ROUND(OFFSET($P55,0,AD$13),15-13*ORÇAMENTO!$AF$7)/$H55*OFFSET(ORÇAMENTO!$X$15,ROW(AD55)-ROW(AD$15),0),
              ROUND(ROUND(OFFSET($P55,0,AD$13),15-13*ORÇAMENTO!$AF$7)*OFFSET(ORÇAMENTO!$W$15,ROW(AD55)-ROW(AD$15),0),15-13*ORÇAMENTO!$AF$11)),
         0)</f>
        <v>0</v>
      </c>
      <c r="AE55" s="354" t="n">
        <f aca="true">IF(AND($D55="Serviço",AE$12&lt;&gt;0,$H55&gt;0,OR(AUTOEVENTO&lt;&gt;"manual",$M55&lt;&gt;$A$15)),
        IF(Import.TipoArredondamento&lt;&gt;"TransfereGOV",
              ROUND(OFFSET($P55,0,AE$13),15-13*ORÇAMENTO!$AF$7)/$H55*OFFSET(ORÇAMENTO!$X$15,ROW(AE55)-ROW(AE$15),0),
              ROUND(ROUND(OFFSET($P55,0,AE$13),15-13*ORÇAMENTO!$AF$7)*OFFSET(ORÇAMENTO!$W$15,ROW(AE55)-ROW(AE$15),0),15-13*ORÇAMENTO!$AF$11)),
         0)</f>
        <v>0</v>
      </c>
      <c r="AF55" s="354" t="n">
        <f aca="true">IF(AND($D55="Serviço",AF$12&lt;&gt;0,$H55&gt;0,OR(AUTOEVENTO&lt;&gt;"manual",$M55&lt;&gt;$A$15)),
        IF(Import.TipoArredondamento&lt;&gt;"TransfereGOV",
              ROUND(OFFSET($P55,0,AF$13),15-13*ORÇAMENTO!$AF$7)/$H55*OFFSET(ORÇAMENTO!$X$15,ROW(AF55)-ROW(AF$15),0),
              ROUND(ROUND(OFFSET($P55,0,AF$13),15-13*ORÇAMENTO!$AF$7)*OFFSET(ORÇAMENTO!$W$15,ROW(AF55)-ROW(AF$15),0),15-13*ORÇAMENTO!$AF$11)),
         0)</f>
        <v>0</v>
      </c>
      <c r="AG55" s="354" t="n">
        <f aca="true">IF(AND($D55="Serviço",AG$12&lt;&gt;0,$H55&gt;0,OR(AUTOEVENTO&lt;&gt;"manual",$M55&lt;&gt;$A$15)),
        IF(Import.TipoArredondamento&lt;&gt;"TransfereGOV",
              ROUND(OFFSET($P55,0,AG$13),15-13*ORÇAMENTO!$AF$7)/$H55*OFFSET(ORÇAMENTO!$X$15,ROW(AG55)-ROW(AG$15),0),
              ROUND(ROUND(OFFSET($P55,0,AG$13),15-13*ORÇAMENTO!$AF$7)*OFFSET(ORÇAMENTO!$W$15,ROW(AG55)-ROW(AG$15),0),15-13*ORÇAMENTO!$AF$11)),
         0)</f>
        <v>0</v>
      </c>
      <c r="AH55" s="354" t="n">
        <f aca="true">IF(AND($D55="Serviço",AH$12&lt;&gt;0,$H55&gt;0,OR(AUTOEVENTO&lt;&gt;"manual",$M55&lt;&gt;$A$15)),
        IF(Import.TipoArredondamento&lt;&gt;"TransfereGOV",
              ROUND(OFFSET($P55,0,AH$13),15-13*ORÇAMENTO!$AF$7)/$H55*OFFSET(ORÇAMENTO!$X$15,ROW(AH55)-ROW(AH$15),0),
              ROUND(ROUND(OFFSET($P55,0,AH$13),15-13*ORÇAMENTO!$AF$7)*OFFSET(ORÇAMENTO!$W$15,ROW(AH55)-ROW(AH$15),0),15-13*ORÇAMENTO!$AF$11)),
         0)</f>
        <v>0</v>
      </c>
      <c r="AI55" s="354" t="n">
        <f aca="true">IF(AND($D55="Serviço",AI$12&lt;&gt;0,$H55&gt;0,OR(AUTOEVENTO&lt;&gt;"manual",$M55&lt;&gt;$A$15)),
        IF(Import.TipoArredondamento&lt;&gt;"TransfereGOV",
              ROUND(OFFSET($P55,0,AI$13),15-13*ORÇAMENTO!$AF$7)/$H55*OFFSET(ORÇAMENTO!$X$15,ROW(AI55)-ROW(AI$15),0),
              ROUND(ROUND(OFFSET($P55,0,AI$13),15-13*ORÇAMENTO!$AF$7)*OFFSET(ORÇAMENTO!$W$15,ROW(AI55)-ROW(AI$15),0),15-13*ORÇAMENTO!$AF$11)),
         0)</f>
        <v>0</v>
      </c>
      <c r="AJ55" s="354" t="n">
        <f aca="true">IF(AND($D55="Serviço",AJ$12&lt;&gt;0,$H55&gt;0,OR(AUTOEVENTO&lt;&gt;"manual",$M55&lt;&gt;$A$15)),
        IF(Import.TipoArredondamento&lt;&gt;"TransfereGOV",
              ROUND(OFFSET($P55,0,AJ$13),15-13*ORÇAMENTO!$AF$7)/$H55*OFFSET(ORÇAMENTO!$X$15,ROW(AJ55)-ROW(AJ$15),0),
              ROUND(ROUND(OFFSET($P55,0,AJ$13),15-13*ORÇAMENTO!$AF$7)*OFFSET(ORÇAMENTO!$W$15,ROW(AJ55)-ROW(AJ$15),0),15-13*ORÇAMENTO!$AF$11)),
         0)</f>
        <v>0</v>
      </c>
      <c r="AK55" s="354" t="n">
        <f aca="true">IF(AND($D55="Serviço",AK$12&lt;&gt;0,$H55&gt;0,OR(AUTOEVENTO&lt;&gt;"manual",$M55&lt;&gt;$A$15)),
        IF(Import.TipoArredondamento&lt;&gt;"TransfereGOV",
              ROUND(OFFSET($P55,0,AK$13),15-13*ORÇAMENTO!$AF$7)/$H55*OFFSET(ORÇAMENTO!$X$15,ROW(AK55)-ROW(AK$15),0),
              ROUND(ROUND(OFFSET($P55,0,AK$13),15-13*ORÇAMENTO!$AF$7)*OFFSET(ORÇAMENTO!$W$15,ROW(AK55)-ROW(AK$15),0),15-13*ORÇAMENTO!$AF$11)),
         0)</f>
        <v>0</v>
      </c>
      <c r="AM55" s="355" t="n">
        <f aca="true">IF(OR($D55&lt;&gt;"Serviço",AND(AUTOEVENTO="Manual",$M55=$A$15)),0,
         IF(OFFSET(CRONOPLE!$F$15,$M55-$A$15,AM$13)=0,10^12,OFFSET(CRONOPLE!$F$15,$M55-$A$15,AM$13)))</f>
        <v>0</v>
      </c>
      <c r="AN55" s="355" t="n">
        <f aca="true">IF(OR($D55&lt;&gt;"Serviço",AND(AUTOEVENTO="Manual",$M55=$A$15)),0,
         IF(OFFSET(CRONOPLE!$F$15,$M55-$A$15,AN$13)=0,10^12,OFFSET(CRONOPLE!$F$15,$M55-$A$15,AN$13)))</f>
        <v>0</v>
      </c>
      <c r="AO55" s="355" t="n">
        <f aca="true">IF(OR($D55&lt;&gt;"Serviço",AND(AUTOEVENTO="Manual",$M55=$A$15)),0,
         IF(OFFSET(CRONOPLE!$F$15,$M55-$A$15,AO$13)=0,10^12,OFFSET(CRONOPLE!$F$15,$M55-$A$15,AO$13)))</f>
        <v>0</v>
      </c>
      <c r="AP55" s="355" t="n">
        <f aca="true">IF(OR($D55&lt;&gt;"Serviço",AND(AUTOEVENTO="Manual",$M55=$A$15)),0,
         IF(OFFSET(CRONOPLE!$F$15,$M55-$A$15,AP$13)=0,10^12,OFFSET(CRONOPLE!$F$15,$M55-$A$15,AP$13)))</f>
        <v>0</v>
      </c>
      <c r="AQ55" s="355" t="n">
        <f aca="true">IF(OR($D55&lt;&gt;"Serviço",AND(AUTOEVENTO="Manual",$M55=$A$15)),0,
         IF(OFFSET(CRONOPLE!$F$15,$M55-$A$15,AQ$13)=0,10^12,OFFSET(CRONOPLE!$F$15,$M55-$A$15,AQ$13)))</f>
        <v>0</v>
      </c>
      <c r="AR55" s="355" t="n">
        <f aca="true">IF(OR($D55&lt;&gt;"Serviço",AND(AUTOEVENTO="Manual",$M55=$A$15)),0,
         IF(OFFSET(CRONOPLE!$F$15,$M55-$A$15,AR$13)=0,10^12,OFFSET(CRONOPLE!$F$15,$M55-$A$15,AR$13)))</f>
        <v>0</v>
      </c>
      <c r="AS55" s="355" t="n">
        <f aca="true">IF(OR($D55&lt;&gt;"Serviço",AND(AUTOEVENTO="Manual",$M55=$A$15)),0,
         IF(OFFSET(CRONOPLE!$F$15,$M55-$A$15,AS$13)=0,10^12,OFFSET(CRONOPLE!$F$15,$M55-$A$15,AS$13)))</f>
        <v>0</v>
      </c>
      <c r="AT55" s="355" t="n">
        <f aca="true">IF(OR($D55&lt;&gt;"Serviço",AND(AUTOEVENTO="Manual",$M55=$A$15)),0,
         IF(OFFSET(CRONOPLE!$F$15,$M55-$A$15,AT$13)=0,10^12,OFFSET(CRONOPLE!$F$15,$M55-$A$15,AT$13)))</f>
        <v>0</v>
      </c>
      <c r="AU55" s="355" t="n">
        <f aca="true">IF(OR($D55&lt;&gt;"Serviço",AND(AUTOEVENTO="Manual",$M55=$A$15)),0,
         IF(OFFSET(CRONOPLE!$F$15,$M55-$A$15,AU$13)=0,10^12,OFFSET(CRONOPLE!$F$15,$M55-$A$15,AU$13)))</f>
        <v>0</v>
      </c>
      <c r="AV55" s="355" t="n">
        <f aca="true">IF(OR($D55&lt;&gt;"Serviço",AND(AUTOEVENTO="Manual",$M55=$A$15)),0,
         IF(OFFSET(CRONOPLE!$F$15,$M55-$A$15,AV$13)=0,10^12,OFFSET(CRONOPLE!$F$15,$M55-$A$15,AV$13)))</f>
        <v>0</v>
      </c>
      <c r="AX55" s="356" t="n">
        <f aca="true" t="array" ref="AX55:AX55">IF(OR($D55&lt;&gt;"Serviço",AND(AUTOEVENTO="Manual",$M55=$A$15),$M55&gt;(ROW(PLE.lastrow)-ROW(PLE.firstrow))),0,
           IF(OFFSET(PLE!$G$15,$M55-$A$15,AX$13)="",10^12,OFFSET(PLE!$G$15,$M55-$A$15,AX$13)))</f>
        <v>0</v>
      </c>
      <c r="AY55" s="356" t="n">
        <f aca="true" t="array" ref="AY55:AY55">IF(OR($D55&lt;&gt;"Serviço",AND(AUTOEVENTO="Manual",$M55=$A$15),$M55&gt;(ROW(PLE.lastrow)-ROW(PLE.firstrow))),0,
           IF(OFFSET(PLE!$G$15,$M55-$A$15,AY$13)="",10^12,OFFSET(PLE!$G$15,$M55-$A$15,AY$13)))</f>
        <v>0</v>
      </c>
      <c r="AZ55" s="356" t="n">
        <f aca="true" t="array" ref="AZ55:AZ55">IF(OR($D55&lt;&gt;"Serviço",AND(AUTOEVENTO="Manual",$M55=$A$15),$M55&gt;(ROW(PLE.lastrow)-ROW(PLE.firstrow))),0,
           IF(OFFSET(PLE!$G$15,$M55-$A$15,AZ$13)="",10^12,OFFSET(PLE!$G$15,$M55-$A$15,AZ$13)))</f>
        <v>0</v>
      </c>
      <c r="BA55" s="356" t="n">
        <f aca="true" t="array" ref="BA55:BA55">IF(OR($D55&lt;&gt;"Serviço",AND(AUTOEVENTO="Manual",$M55=$A$15),$M55&gt;(ROW(PLE.lastrow)-ROW(PLE.firstrow))),0,
           IF(OFFSET(PLE!$G$15,$M55-$A$15,BA$13)="",10^12,OFFSET(PLE!$G$15,$M55-$A$15,BA$13)))</f>
        <v>0</v>
      </c>
      <c r="BB55" s="356" t="n">
        <f aca="true" t="array" ref="BB55:BB55">IF(OR($D55&lt;&gt;"Serviço",AND(AUTOEVENTO="Manual",$M55=$A$15),$M55&gt;(ROW(PLE.lastrow)-ROW(PLE.firstrow))),0,
           IF(OFFSET(PLE!$G$15,$M55-$A$15,BB$13)="",10^12,OFFSET(PLE!$G$15,$M55-$A$15,BB$13)))</f>
        <v>0</v>
      </c>
      <c r="BC55" s="356" t="n">
        <f aca="true" t="array" ref="BC55:BC55">IF(OR($D55&lt;&gt;"Serviço",AND(AUTOEVENTO="Manual",$M55=$A$15),$M55&gt;(ROW(PLE.lastrow)-ROW(PLE.firstrow))),0,
           IF(OFFSET(PLE!$G$15,$M55-$A$15,BC$13)="",10^12,OFFSET(PLE!$G$15,$M55-$A$15,BC$13)))</f>
        <v>0</v>
      </c>
      <c r="BD55" s="356" t="n">
        <f aca="true" t="array" ref="BD55:BD55">IF(OR($D55&lt;&gt;"Serviço",AND(AUTOEVENTO="Manual",$M55=$A$15),$M55&gt;(ROW(PLE.lastrow)-ROW(PLE.firstrow))),0,
           IF(OFFSET(PLE!$G$15,$M55-$A$15,BD$13)="",10^12,OFFSET(PLE!$G$15,$M55-$A$15,BD$13)))</f>
        <v>0</v>
      </c>
      <c r="BE55" s="356" t="n">
        <f aca="true" t="array" ref="BE55:BE55">IF(OR($D55&lt;&gt;"Serviço",AND(AUTOEVENTO="Manual",$M55=$A$15),$M55&gt;(ROW(PLE.lastrow)-ROW(PLE.firstrow))),0,
           IF(OFFSET(PLE!$G$15,$M55-$A$15,BE$13)="",10^12,OFFSET(PLE!$G$15,$M55-$A$15,BE$13)))</f>
        <v>0</v>
      </c>
      <c r="BF55" s="356" t="n">
        <f aca="true" t="array" ref="BF55:BF55">IF(OR($D55&lt;&gt;"Serviço",AND(AUTOEVENTO="Manual",$M55=$A$15),$M55&gt;(ROW(PLE.lastrow)-ROW(PLE.firstrow))),0,
           IF(OFFSET(PLE!$G$15,$M55-$A$15,BF$13)="",10^12,OFFSET(PLE!$G$15,$M55-$A$15,BF$13)))</f>
        <v>0</v>
      </c>
      <c r="BG55" s="356" t="n">
        <f aca="true" t="array" ref="BG55:BG55">IF(OR($D55&lt;&gt;"Serviço",AND(AUTOEVENTO="Manual",$M55=$A$15),$M55&gt;(ROW(PLE.lastrow)-ROW(PLE.firstrow))),0,
           IF(OFFSET(PLE!$G$15,$M55-$A$15,BG$13)="",10^12,OFFSET(PLE!$G$15,$M55-$A$15,BG$13)))</f>
        <v>0</v>
      </c>
    </row>
    <row r="56" customFormat="false" ht="12.75" hidden="false" customHeight="false" outlineLevel="0" collapsed="false">
      <c r="A56" s="48" t="str">
        <f aca="true">IFERROR(IF(AUTOEVENTO="Manual",IF(K56&lt;&gt;"",MIN(VALUE(LEFT(K56,FIND(".",K56)-1)),COUNTA(EVENTOS.Lista)),0),IF(OR($B56&gt;AUTOEVENTO,$B56="S",$B56=0),SUBSTITUTE(OFFSET($A56,-1,0),IF($D56="Serviço",".",""),""),$L56&amp;".")),0)</f>
        <v>40</v>
      </c>
      <c r="B56" s="48" t="str">
        <f aca="true">OFFSET(ORÇAMENTO!C$15,$L56,0)</f>
        <v>S</v>
      </c>
      <c r="C56" s="48" t="str">
        <f aca="true">OFFSET(ORÇAMENTO!L$15,$L56,0)</f>
        <v/>
      </c>
      <c r="D56" s="206" t="str">
        <f aca="true">OFFSET(ORÇAMENTO!N$15,$L56,0)</f>
        <v>Serviço</v>
      </c>
      <c r="E56" s="207" t="str">
        <f aca="true">OFFSET(ORÇAMENTO!O$15,$L56,0)</f>
        <v>-</v>
      </c>
      <c r="F56" s="343" t="str">
        <f aca="true">OFFSET(ORÇAMENTO!R$15,$L56,0)</f>
        <v>(Código não identificado nas referências)</v>
      </c>
      <c r="G56" s="344" t="str">
        <f aca="true">IF($D56&lt;&gt;"Serviço","",OFFSET(ORÇAMENTO!S$15,$L56,0))</f>
        <v>-</v>
      </c>
      <c r="H56" s="212" t="n">
        <f aca="true" t="array" ref="H56:H56">IF($D56&lt;&gt;"Serviço",0,IF(ACOMPANHAMENTO="BM",ROUND(OFFSET(ORÇAMENTO!AJ$15,$L56,0),15-13*ORÇAMENTO!$AF$7),IF(IFERROR(CÁLCULO.FrentesPreenchidas,0)=0,0,SUM(ROUND(OFFSET($P56,0,1,1,CÁLCULO.FrentesPreenchidas),15-13*ORÇAMENTO!$AF$7)))))</f>
        <v>120</v>
      </c>
      <c r="I56" s="345" t="s">
        <v>915</v>
      </c>
      <c r="J56" s="346" t="str">
        <f aca="false" t="array" ref="J56:J56">IF(OR(B56&lt;&gt;"S",CÁLCULO.FrentesPreenchidas=0),"",IF(AND(ACOMPANHAMENTO="PLE",AUTOEVENTO="Manual",OR(H56&gt;0,ORÇAMENTO!AC56="QUANT."),OR(K56="",M56=0,N56="")),"►E",IF(AND(ACOMPANHAMENTO="PLE",ORÇAMENTO!AC56="QUANT."),"►Q",IF(AND(ACOMPANHAMENTO="PLE",H56&lt;&gt;SUMPRODUCT(($Q$1:$AA$1=1)*ROUND(Q56:AA56,15))),"►S",IF(AND(COUNTIF($P$11:$AA$11,"▼")=0,H56&gt;0,I56=""),"◄M","")))))</f>
        <v/>
      </c>
      <c r="K56" s="347"/>
      <c r="L56" s="348" t="n">
        <f aca="true">OFFSET(L56,-1,0)+1</f>
        <v>41</v>
      </c>
      <c r="M56" s="349" t="n">
        <f aca="true">IF($D56&lt;&gt;"Serviço","",
          IF(AUTOEVENTO="manual",$A56,
                IF(ISERROR(MATCH($A56,$A$15:OFFSET($A56,-1,0),0)),MAX($M$15:OFFSET(M56,-1,0))+1,
                      INDEX($M$15:OFFSET(M56,-1,0),MATCH($A56,$A$15:OFFSET($A56,-1,0),0)))))</f>
        <v>11</v>
      </c>
      <c r="N56" s="350" t="str">
        <f aca="true">IF($D56&lt;&gt;"Serviço","",
         IF(AUTOEVENTO="Manual",
                IF($A56=0,"&lt;-- defina o número do agrupador",
                       OFFSET(EVENTOS!$D$15,$A56-$A$15,0)),
                OFFSET($F$15,$A56,0)))</f>
        <v>ILUMINAÇÃO</v>
      </c>
      <c r="O56" s="351"/>
      <c r="Q56" s="351"/>
      <c r="R56" s="352"/>
      <c r="S56" s="352"/>
      <c r="T56" s="352"/>
      <c r="U56" s="352"/>
      <c r="V56" s="352"/>
      <c r="W56" s="352"/>
      <c r="X56" s="352"/>
      <c r="Y56" s="352"/>
      <c r="Z56" s="353"/>
      <c r="AB56" s="354" t="n">
        <f aca="true">IF(AND($D56="Serviço",AB$12&lt;&gt;0,$H56&gt;0,OR(AUTOEVENTO&lt;&gt;"manual",$M56&lt;&gt;$A$15)),
        IF(Import.TipoArredondamento&lt;&gt;"TransfereGOV",
              ROUND(OFFSET($P56,0,AB$13),15-13*ORÇAMENTO!$AF$7)/$H56*OFFSET(ORÇAMENTO!$X$15,ROW(AB56)-ROW(AB$15),0),
              ROUND(ROUND(OFFSET($P56,0,AB$13),15-13*ORÇAMENTO!$AF$7)*OFFSET(ORÇAMENTO!$W$15,ROW(AB56)-ROW(AB$15),0),15-13*ORÇAMENTO!$AF$11)),
         0)</f>
        <v>0</v>
      </c>
      <c r="AC56" s="354" t="n">
        <f aca="true">IF(AND($D56="Serviço",AC$12&lt;&gt;0,$H56&gt;0,OR(AUTOEVENTO&lt;&gt;"manual",$M56&lt;&gt;$A$15)),
        IF(Import.TipoArredondamento&lt;&gt;"TransfereGOV",
              ROUND(OFFSET($P56,0,AC$13),15-13*ORÇAMENTO!$AF$7)/$H56*OFFSET(ORÇAMENTO!$X$15,ROW(AC56)-ROW(AC$15),0),
              ROUND(ROUND(OFFSET($P56,0,AC$13),15-13*ORÇAMENTO!$AF$7)*OFFSET(ORÇAMENTO!$W$15,ROW(AC56)-ROW(AC$15),0),15-13*ORÇAMENTO!$AF$11)),
         0)</f>
        <v>0</v>
      </c>
      <c r="AD56" s="354" t="n">
        <f aca="true">IF(AND($D56="Serviço",AD$12&lt;&gt;0,$H56&gt;0,OR(AUTOEVENTO&lt;&gt;"manual",$M56&lt;&gt;$A$15)),
        IF(Import.TipoArredondamento&lt;&gt;"TransfereGOV",
              ROUND(OFFSET($P56,0,AD$13),15-13*ORÇAMENTO!$AF$7)/$H56*OFFSET(ORÇAMENTO!$X$15,ROW(AD56)-ROW(AD$15),0),
              ROUND(ROUND(OFFSET($P56,0,AD$13),15-13*ORÇAMENTO!$AF$7)*OFFSET(ORÇAMENTO!$W$15,ROW(AD56)-ROW(AD$15),0),15-13*ORÇAMENTO!$AF$11)),
         0)</f>
        <v>0</v>
      </c>
      <c r="AE56" s="354" t="n">
        <f aca="true">IF(AND($D56="Serviço",AE$12&lt;&gt;0,$H56&gt;0,OR(AUTOEVENTO&lt;&gt;"manual",$M56&lt;&gt;$A$15)),
        IF(Import.TipoArredondamento&lt;&gt;"TransfereGOV",
              ROUND(OFFSET($P56,0,AE$13),15-13*ORÇAMENTO!$AF$7)/$H56*OFFSET(ORÇAMENTO!$X$15,ROW(AE56)-ROW(AE$15),0),
              ROUND(ROUND(OFFSET($P56,0,AE$13),15-13*ORÇAMENTO!$AF$7)*OFFSET(ORÇAMENTO!$W$15,ROW(AE56)-ROW(AE$15),0),15-13*ORÇAMENTO!$AF$11)),
         0)</f>
        <v>0</v>
      </c>
      <c r="AF56" s="354" t="n">
        <f aca="true">IF(AND($D56="Serviço",AF$12&lt;&gt;0,$H56&gt;0,OR(AUTOEVENTO&lt;&gt;"manual",$M56&lt;&gt;$A$15)),
        IF(Import.TipoArredondamento&lt;&gt;"TransfereGOV",
              ROUND(OFFSET($P56,0,AF$13),15-13*ORÇAMENTO!$AF$7)/$H56*OFFSET(ORÇAMENTO!$X$15,ROW(AF56)-ROW(AF$15),0),
              ROUND(ROUND(OFFSET($P56,0,AF$13),15-13*ORÇAMENTO!$AF$7)*OFFSET(ORÇAMENTO!$W$15,ROW(AF56)-ROW(AF$15),0),15-13*ORÇAMENTO!$AF$11)),
         0)</f>
        <v>0</v>
      </c>
      <c r="AG56" s="354" t="n">
        <f aca="true">IF(AND($D56="Serviço",AG$12&lt;&gt;0,$H56&gt;0,OR(AUTOEVENTO&lt;&gt;"manual",$M56&lt;&gt;$A$15)),
        IF(Import.TipoArredondamento&lt;&gt;"TransfereGOV",
              ROUND(OFFSET($P56,0,AG$13),15-13*ORÇAMENTO!$AF$7)/$H56*OFFSET(ORÇAMENTO!$X$15,ROW(AG56)-ROW(AG$15),0),
              ROUND(ROUND(OFFSET($P56,0,AG$13),15-13*ORÇAMENTO!$AF$7)*OFFSET(ORÇAMENTO!$W$15,ROW(AG56)-ROW(AG$15),0),15-13*ORÇAMENTO!$AF$11)),
         0)</f>
        <v>0</v>
      </c>
      <c r="AH56" s="354" t="n">
        <f aca="true">IF(AND($D56="Serviço",AH$12&lt;&gt;0,$H56&gt;0,OR(AUTOEVENTO&lt;&gt;"manual",$M56&lt;&gt;$A$15)),
        IF(Import.TipoArredondamento&lt;&gt;"TransfereGOV",
              ROUND(OFFSET($P56,0,AH$13),15-13*ORÇAMENTO!$AF$7)/$H56*OFFSET(ORÇAMENTO!$X$15,ROW(AH56)-ROW(AH$15),0),
              ROUND(ROUND(OFFSET($P56,0,AH$13),15-13*ORÇAMENTO!$AF$7)*OFFSET(ORÇAMENTO!$W$15,ROW(AH56)-ROW(AH$15),0),15-13*ORÇAMENTO!$AF$11)),
         0)</f>
        <v>0</v>
      </c>
      <c r="AI56" s="354" t="n">
        <f aca="true">IF(AND($D56="Serviço",AI$12&lt;&gt;0,$H56&gt;0,OR(AUTOEVENTO&lt;&gt;"manual",$M56&lt;&gt;$A$15)),
        IF(Import.TipoArredondamento&lt;&gt;"TransfereGOV",
              ROUND(OFFSET($P56,0,AI$13),15-13*ORÇAMENTO!$AF$7)/$H56*OFFSET(ORÇAMENTO!$X$15,ROW(AI56)-ROW(AI$15),0),
              ROUND(ROUND(OFFSET($P56,0,AI$13),15-13*ORÇAMENTO!$AF$7)*OFFSET(ORÇAMENTO!$W$15,ROW(AI56)-ROW(AI$15),0),15-13*ORÇAMENTO!$AF$11)),
         0)</f>
        <v>0</v>
      </c>
      <c r="AJ56" s="354" t="n">
        <f aca="true">IF(AND($D56="Serviço",AJ$12&lt;&gt;0,$H56&gt;0,OR(AUTOEVENTO&lt;&gt;"manual",$M56&lt;&gt;$A$15)),
        IF(Import.TipoArredondamento&lt;&gt;"TransfereGOV",
              ROUND(OFFSET($P56,0,AJ$13),15-13*ORÇAMENTO!$AF$7)/$H56*OFFSET(ORÇAMENTO!$X$15,ROW(AJ56)-ROW(AJ$15),0),
              ROUND(ROUND(OFFSET($P56,0,AJ$13),15-13*ORÇAMENTO!$AF$7)*OFFSET(ORÇAMENTO!$W$15,ROW(AJ56)-ROW(AJ$15),0),15-13*ORÇAMENTO!$AF$11)),
         0)</f>
        <v>0</v>
      </c>
      <c r="AK56" s="354" t="n">
        <f aca="true">IF(AND($D56="Serviço",AK$12&lt;&gt;0,$H56&gt;0,OR(AUTOEVENTO&lt;&gt;"manual",$M56&lt;&gt;$A$15)),
        IF(Import.TipoArredondamento&lt;&gt;"TransfereGOV",
              ROUND(OFFSET($P56,0,AK$13),15-13*ORÇAMENTO!$AF$7)/$H56*OFFSET(ORÇAMENTO!$X$15,ROW(AK56)-ROW(AK$15),0),
              ROUND(ROUND(OFFSET($P56,0,AK$13),15-13*ORÇAMENTO!$AF$7)*OFFSET(ORÇAMENTO!$W$15,ROW(AK56)-ROW(AK$15),0),15-13*ORÇAMENTO!$AF$11)),
         0)</f>
        <v>0</v>
      </c>
      <c r="AM56" s="355" t="n">
        <f aca="true">IF(OR($D56&lt;&gt;"Serviço",AND(AUTOEVENTO="Manual",$M56=$A$15)),0,
         IF(OFFSET(CRONOPLE!$F$15,$M56-$A$15,AM$13)=0,10^12,OFFSET(CRONOPLE!$F$15,$M56-$A$15,AM$13)))</f>
        <v>1000000000000</v>
      </c>
      <c r="AN56" s="355" t="n">
        <f aca="true">IF(OR($D56&lt;&gt;"Serviço",AND(AUTOEVENTO="Manual",$M56=$A$15)),0,
         IF(OFFSET(CRONOPLE!$F$15,$M56-$A$15,AN$13)=0,10^12,OFFSET(CRONOPLE!$F$15,$M56-$A$15,AN$13)))</f>
        <v>1000000000000</v>
      </c>
      <c r="AO56" s="355" t="n">
        <f aca="true">IF(OR($D56&lt;&gt;"Serviço",AND(AUTOEVENTO="Manual",$M56=$A$15)),0,
         IF(OFFSET(CRONOPLE!$F$15,$M56-$A$15,AO$13)=0,10^12,OFFSET(CRONOPLE!$F$15,$M56-$A$15,AO$13)))</f>
        <v>1000000000000</v>
      </c>
      <c r="AP56" s="355" t="n">
        <f aca="true">IF(OR($D56&lt;&gt;"Serviço",AND(AUTOEVENTO="Manual",$M56=$A$15)),0,
         IF(OFFSET(CRONOPLE!$F$15,$M56-$A$15,AP$13)=0,10^12,OFFSET(CRONOPLE!$F$15,$M56-$A$15,AP$13)))</f>
        <v>1000000000000</v>
      </c>
      <c r="AQ56" s="355" t="n">
        <f aca="true">IF(OR($D56&lt;&gt;"Serviço",AND(AUTOEVENTO="Manual",$M56=$A$15)),0,
         IF(OFFSET(CRONOPLE!$F$15,$M56-$A$15,AQ$13)=0,10^12,OFFSET(CRONOPLE!$F$15,$M56-$A$15,AQ$13)))</f>
        <v>1000000000000</v>
      </c>
      <c r="AR56" s="355" t="n">
        <f aca="true">IF(OR($D56&lt;&gt;"Serviço",AND(AUTOEVENTO="Manual",$M56=$A$15)),0,
         IF(OFFSET(CRONOPLE!$F$15,$M56-$A$15,AR$13)=0,10^12,OFFSET(CRONOPLE!$F$15,$M56-$A$15,AR$13)))</f>
        <v>1000000000000</v>
      </c>
      <c r="AS56" s="355" t="n">
        <f aca="true">IF(OR($D56&lt;&gt;"Serviço",AND(AUTOEVENTO="Manual",$M56=$A$15)),0,
         IF(OFFSET(CRONOPLE!$F$15,$M56-$A$15,AS$13)=0,10^12,OFFSET(CRONOPLE!$F$15,$M56-$A$15,AS$13)))</f>
        <v>1000000000000</v>
      </c>
      <c r="AT56" s="355" t="n">
        <f aca="true">IF(OR($D56&lt;&gt;"Serviço",AND(AUTOEVENTO="Manual",$M56=$A$15)),0,
         IF(OFFSET(CRONOPLE!$F$15,$M56-$A$15,AT$13)=0,10^12,OFFSET(CRONOPLE!$F$15,$M56-$A$15,AT$13)))</f>
        <v>1000000000000</v>
      </c>
      <c r="AU56" s="355" t="n">
        <f aca="true">IF(OR($D56&lt;&gt;"Serviço",AND(AUTOEVENTO="Manual",$M56=$A$15)),0,
         IF(OFFSET(CRONOPLE!$F$15,$M56-$A$15,AU$13)=0,10^12,OFFSET(CRONOPLE!$F$15,$M56-$A$15,AU$13)))</f>
        <v>1000000000000</v>
      </c>
      <c r="AV56" s="355" t="n">
        <f aca="true">IF(OR($D56&lt;&gt;"Serviço",AND(AUTOEVENTO="Manual",$M56=$A$15)),0,
         IF(OFFSET(CRONOPLE!$F$15,$M56-$A$15,AV$13)=0,10^12,OFFSET(CRONOPLE!$F$15,$M56-$A$15,AV$13)))</f>
        <v>1000000000000</v>
      </c>
      <c r="AX56" s="356" t="n">
        <f aca="true" t="array" ref="AX56:AX56">IF(OR($D56&lt;&gt;"Serviço",AND(AUTOEVENTO="Manual",$M56=$A$15),$M56&gt;(ROW(PLE.lastrow)-ROW(PLE.firstrow))),0,
           IF(OFFSET(PLE!$G$15,$M56-$A$15,AX$13)="",10^12,OFFSET(PLE!$G$15,$M56-$A$15,AX$13)))</f>
        <v>1000000000000</v>
      </c>
      <c r="AY56" s="356" t="n">
        <f aca="true" t="array" ref="AY56:AY56">IF(OR($D56&lt;&gt;"Serviço",AND(AUTOEVENTO="Manual",$M56=$A$15),$M56&gt;(ROW(PLE.lastrow)-ROW(PLE.firstrow))),0,
           IF(OFFSET(PLE!$G$15,$M56-$A$15,AY$13)="",10^12,OFFSET(PLE!$G$15,$M56-$A$15,AY$13)))</f>
        <v>1000000000000</v>
      </c>
      <c r="AZ56" s="356" t="n">
        <f aca="true" t="array" ref="AZ56:AZ56">IF(OR($D56&lt;&gt;"Serviço",AND(AUTOEVENTO="Manual",$M56=$A$15),$M56&gt;(ROW(PLE.lastrow)-ROW(PLE.firstrow))),0,
           IF(OFFSET(PLE!$G$15,$M56-$A$15,AZ$13)="",10^12,OFFSET(PLE!$G$15,$M56-$A$15,AZ$13)))</f>
        <v>1000000000000</v>
      </c>
      <c r="BA56" s="356" t="n">
        <f aca="true" t="array" ref="BA56:BA56">IF(OR($D56&lt;&gt;"Serviço",AND(AUTOEVENTO="Manual",$M56=$A$15),$M56&gt;(ROW(PLE.lastrow)-ROW(PLE.firstrow))),0,
           IF(OFFSET(PLE!$G$15,$M56-$A$15,BA$13)="",10^12,OFFSET(PLE!$G$15,$M56-$A$15,BA$13)))</f>
        <v>1000000000000</v>
      </c>
      <c r="BB56" s="356" t="n">
        <f aca="true" t="array" ref="BB56:BB56">IF(OR($D56&lt;&gt;"Serviço",AND(AUTOEVENTO="Manual",$M56=$A$15),$M56&gt;(ROW(PLE.lastrow)-ROW(PLE.firstrow))),0,
           IF(OFFSET(PLE!$G$15,$M56-$A$15,BB$13)="",10^12,OFFSET(PLE!$G$15,$M56-$A$15,BB$13)))</f>
        <v>1000000000000</v>
      </c>
      <c r="BC56" s="356" t="n">
        <f aca="true" t="array" ref="BC56:BC56">IF(OR($D56&lt;&gt;"Serviço",AND(AUTOEVENTO="Manual",$M56=$A$15),$M56&gt;(ROW(PLE.lastrow)-ROW(PLE.firstrow))),0,
           IF(OFFSET(PLE!$G$15,$M56-$A$15,BC$13)="",10^12,OFFSET(PLE!$G$15,$M56-$A$15,BC$13)))</f>
        <v>1000000000000</v>
      </c>
      <c r="BD56" s="356" t="n">
        <f aca="true" t="array" ref="BD56:BD56">IF(OR($D56&lt;&gt;"Serviço",AND(AUTOEVENTO="Manual",$M56=$A$15),$M56&gt;(ROW(PLE.lastrow)-ROW(PLE.firstrow))),0,
           IF(OFFSET(PLE!$G$15,$M56-$A$15,BD$13)="",10^12,OFFSET(PLE!$G$15,$M56-$A$15,BD$13)))</f>
        <v>1000000000000</v>
      </c>
      <c r="BE56" s="356" t="n">
        <f aca="true" t="array" ref="BE56:BE56">IF(OR($D56&lt;&gt;"Serviço",AND(AUTOEVENTO="Manual",$M56=$A$15),$M56&gt;(ROW(PLE.lastrow)-ROW(PLE.firstrow))),0,
           IF(OFFSET(PLE!$G$15,$M56-$A$15,BE$13)="",10^12,OFFSET(PLE!$G$15,$M56-$A$15,BE$13)))</f>
        <v>1000000000000</v>
      </c>
      <c r="BF56" s="356" t="n">
        <f aca="true" t="array" ref="BF56:BF56">IF(OR($D56&lt;&gt;"Serviço",AND(AUTOEVENTO="Manual",$M56=$A$15),$M56&gt;(ROW(PLE.lastrow)-ROW(PLE.firstrow))),0,
           IF(OFFSET(PLE!$G$15,$M56-$A$15,BF$13)="",10^12,OFFSET(PLE!$G$15,$M56-$A$15,BF$13)))</f>
        <v>1000000000000</v>
      </c>
      <c r="BG56" s="356" t="n">
        <f aca="true" t="array" ref="BG56:BG56">IF(OR($D56&lt;&gt;"Serviço",AND(AUTOEVENTO="Manual",$M56=$A$15),$M56&gt;(ROW(PLE.lastrow)-ROW(PLE.firstrow))),0,
           IF(OFFSET(PLE!$G$15,$M56-$A$15,BG$13)="",10^12,OFFSET(PLE!$G$15,$M56-$A$15,BG$13)))</f>
        <v>1000000000000</v>
      </c>
    </row>
    <row r="57" customFormat="false" ht="12.75" hidden="false" customHeight="false" outlineLevel="0" collapsed="false">
      <c r="A57" s="48" t="str">
        <f aca="true">IFERROR(IF(AUTOEVENTO="Manual",IF(K57&lt;&gt;"",MIN(VALUE(LEFT(K57,FIND(".",K57)-1)),COUNTA(EVENTOS.Lista)),0),IF(OR($B57&gt;AUTOEVENTO,$B57="S",$B57=0),SUBSTITUTE(OFFSET($A57,-1,0),IF($D57="Serviço",".",""),""),$L57&amp;".")),0)</f>
        <v>40</v>
      </c>
      <c r="B57" s="48" t="str">
        <f aca="true">OFFSET(ORÇAMENTO!C$15,$L57,0)</f>
        <v>S</v>
      </c>
      <c r="C57" s="48" t="str">
        <f aca="true">OFFSET(ORÇAMENTO!L$15,$L57,0)</f>
        <v/>
      </c>
      <c r="D57" s="206" t="str">
        <f aca="true">OFFSET(ORÇAMENTO!N$15,$L57,0)</f>
        <v>Serviço</v>
      </c>
      <c r="E57" s="207" t="str">
        <f aca="true">OFFSET(ORÇAMENTO!O$15,$L57,0)</f>
        <v>-</v>
      </c>
      <c r="F57" s="343" t="str">
        <f aca="true">OFFSET(ORÇAMENTO!R$15,$L57,0)</f>
        <v>(Código não identificado nas referências)</v>
      </c>
      <c r="G57" s="344" t="str">
        <f aca="true">IF($D57&lt;&gt;"Serviço","",OFFSET(ORÇAMENTO!S$15,$L57,0))</f>
        <v>-</v>
      </c>
      <c r="H57" s="212" t="n">
        <f aca="true" t="array" ref="H57:H57">IF($D57&lt;&gt;"Serviço",0,IF(ACOMPANHAMENTO="BM",ROUND(OFFSET(ORÇAMENTO!AJ$15,$L57,0),15-13*ORÇAMENTO!$AF$7),IF(IFERROR(CÁLCULO.FrentesPreenchidas,0)=0,0,SUM(ROUND(OFFSET($P57,0,1,1,CÁLCULO.FrentesPreenchidas),15-13*ORÇAMENTO!$AF$7)))))</f>
        <v>20</v>
      </c>
      <c r="I57" s="345" t="s">
        <v>906</v>
      </c>
      <c r="J57" s="346" t="str">
        <f aca="false" t="array" ref="J57:J57">IF(OR(B57&lt;&gt;"S",CÁLCULO.FrentesPreenchidas=0),"",IF(AND(ACOMPANHAMENTO="PLE",AUTOEVENTO="Manual",OR(H57&gt;0,ORÇAMENTO!AC57="QUANT."),OR(K57="",M57=0,N57="")),"►E",IF(AND(ACOMPANHAMENTO="PLE",ORÇAMENTO!AC57="QUANT."),"►Q",IF(AND(ACOMPANHAMENTO="PLE",H57&lt;&gt;SUMPRODUCT(($Q$1:$AA$1=1)*ROUND(Q57:AA57,15))),"►S",IF(AND(COUNTIF($P$11:$AA$11,"▼")=0,H57&gt;0,I57=""),"◄M","")))))</f>
        <v/>
      </c>
      <c r="K57" s="347"/>
      <c r="L57" s="348" t="n">
        <f aca="true">OFFSET(L57,-1,0)+1</f>
        <v>42</v>
      </c>
      <c r="M57" s="349" t="n">
        <f aca="true">IF($D57&lt;&gt;"Serviço","",
          IF(AUTOEVENTO="manual",$A57,
                IF(ISERROR(MATCH($A57,$A$15:OFFSET($A57,-1,0),0)),MAX($M$15:OFFSET(M57,-1,0))+1,
                      INDEX($M$15:OFFSET(M57,-1,0),MATCH($A57,$A$15:OFFSET($A57,-1,0),0)))))</f>
        <v>11</v>
      </c>
      <c r="N57" s="350" t="str">
        <f aca="true">IF($D57&lt;&gt;"Serviço","",
         IF(AUTOEVENTO="Manual",
                IF($A57=0,"&lt;-- defina o número do agrupador",
                       OFFSET(EVENTOS!$D$15,$A57-$A$15,0)),
                OFFSET($F$15,$A57,0)))</f>
        <v>ILUMINAÇÃO</v>
      </c>
      <c r="O57" s="351"/>
      <c r="Q57" s="351"/>
      <c r="R57" s="352"/>
      <c r="S57" s="352"/>
      <c r="T57" s="352"/>
      <c r="U57" s="352"/>
      <c r="V57" s="352"/>
      <c r="W57" s="352"/>
      <c r="X57" s="352"/>
      <c r="Y57" s="352"/>
      <c r="Z57" s="353"/>
      <c r="AB57" s="354" t="n">
        <f aca="true">IF(AND($D57="Serviço",AB$12&lt;&gt;0,$H57&gt;0,OR(AUTOEVENTO&lt;&gt;"manual",$M57&lt;&gt;$A$15)),
        IF(Import.TipoArredondamento&lt;&gt;"TransfereGOV",
              ROUND(OFFSET($P57,0,AB$13),15-13*ORÇAMENTO!$AF$7)/$H57*OFFSET(ORÇAMENTO!$X$15,ROW(AB57)-ROW(AB$15),0),
              ROUND(ROUND(OFFSET($P57,0,AB$13),15-13*ORÇAMENTO!$AF$7)*OFFSET(ORÇAMENTO!$W$15,ROW(AB57)-ROW(AB$15),0),15-13*ORÇAMENTO!$AF$11)),
         0)</f>
        <v>0</v>
      </c>
      <c r="AC57" s="354" t="n">
        <f aca="true">IF(AND($D57="Serviço",AC$12&lt;&gt;0,$H57&gt;0,OR(AUTOEVENTO&lt;&gt;"manual",$M57&lt;&gt;$A$15)),
        IF(Import.TipoArredondamento&lt;&gt;"TransfereGOV",
              ROUND(OFFSET($P57,0,AC$13),15-13*ORÇAMENTO!$AF$7)/$H57*OFFSET(ORÇAMENTO!$X$15,ROW(AC57)-ROW(AC$15),0),
              ROUND(ROUND(OFFSET($P57,0,AC$13),15-13*ORÇAMENTO!$AF$7)*OFFSET(ORÇAMENTO!$W$15,ROW(AC57)-ROW(AC$15),0),15-13*ORÇAMENTO!$AF$11)),
         0)</f>
        <v>0</v>
      </c>
      <c r="AD57" s="354" t="n">
        <f aca="true">IF(AND($D57="Serviço",AD$12&lt;&gt;0,$H57&gt;0,OR(AUTOEVENTO&lt;&gt;"manual",$M57&lt;&gt;$A$15)),
        IF(Import.TipoArredondamento&lt;&gt;"TransfereGOV",
              ROUND(OFFSET($P57,0,AD$13),15-13*ORÇAMENTO!$AF$7)/$H57*OFFSET(ORÇAMENTO!$X$15,ROW(AD57)-ROW(AD$15),0),
              ROUND(ROUND(OFFSET($P57,0,AD$13),15-13*ORÇAMENTO!$AF$7)*OFFSET(ORÇAMENTO!$W$15,ROW(AD57)-ROW(AD$15),0),15-13*ORÇAMENTO!$AF$11)),
         0)</f>
        <v>0</v>
      </c>
      <c r="AE57" s="354" t="n">
        <f aca="true">IF(AND($D57="Serviço",AE$12&lt;&gt;0,$H57&gt;0,OR(AUTOEVENTO&lt;&gt;"manual",$M57&lt;&gt;$A$15)),
        IF(Import.TipoArredondamento&lt;&gt;"TransfereGOV",
              ROUND(OFFSET($P57,0,AE$13),15-13*ORÇAMENTO!$AF$7)/$H57*OFFSET(ORÇAMENTO!$X$15,ROW(AE57)-ROW(AE$15),0),
              ROUND(ROUND(OFFSET($P57,0,AE$13),15-13*ORÇAMENTO!$AF$7)*OFFSET(ORÇAMENTO!$W$15,ROW(AE57)-ROW(AE$15),0),15-13*ORÇAMENTO!$AF$11)),
         0)</f>
        <v>0</v>
      </c>
      <c r="AF57" s="354" t="n">
        <f aca="true">IF(AND($D57="Serviço",AF$12&lt;&gt;0,$H57&gt;0,OR(AUTOEVENTO&lt;&gt;"manual",$M57&lt;&gt;$A$15)),
        IF(Import.TipoArredondamento&lt;&gt;"TransfereGOV",
              ROUND(OFFSET($P57,0,AF$13),15-13*ORÇAMENTO!$AF$7)/$H57*OFFSET(ORÇAMENTO!$X$15,ROW(AF57)-ROW(AF$15),0),
              ROUND(ROUND(OFFSET($P57,0,AF$13),15-13*ORÇAMENTO!$AF$7)*OFFSET(ORÇAMENTO!$W$15,ROW(AF57)-ROW(AF$15),0),15-13*ORÇAMENTO!$AF$11)),
         0)</f>
        <v>0</v>
      </c>
      <c r="AG57" s="354" t="n">
        <f aca="true">IF(AND($D57="Serviço",AG$12&lt;&gt;0,$H57&gt;0,OR(AUTOEVENTO&lt;&gt;"manual",$M57&lt;&gt;$A$15)),
        IF(Import.TipoArredondamento&lt;&gt;"TransfereGOV",
              ROUND(OFFSET($P57,0,AG$13),15-13*ORÇAMENTO!$AF$7)/$H57*OFFSET(ORÇAMENTO!$X$15,ROW(AG57)-ROW(AG$15),0),
              ROUND(ROUND(OFFSET($P57,0,AG$13),15-13*ORÇAMENTO!$AF$7)*OFFSET(ORÇAMENTO!$W$15,ROW(AG57)-ROW(AG$15),0),15-13*ORÇAMENTO!$AF$11)),
         0)</f>
        <v>0</v>
      </c>
      <c r="AH57" s="354" t="n">
        <f aca="true">IF(AND($D57="Serviço",AH$12&lt;&gt;0,$H57&gt;0,OR(AUTOEVENTO&lt;&gt;"manual",$M57&lt;&gt;$A$15)),
        IF(Import.TipoArredondamento&lt;&gt;"TransfereGOV",
              ROUND(OFFSET($P57,0,AH$13),15-13*ORÇAMENTO!$AF$7)/$H57*OFFSET(ORÇAMENTO!$X$15,ROW(AH57)-ROW(AH$15),0),
              ROUND(ROUND(OFFSET($P57,0,AH$13),15-13*ORÇAMENTO!$AF$7)*OFFSET(ORÇAMENTO!$W$15,ROW(AH57)-ROW(AH$15),0),15-13*ORÇAMENTO!$AF$11)),
         0)</f>
        <v>0</v>
      </c>
      <c r="AI57" s="354" t="n">
        <f aca="true">IF(AND($D57="Serviço",AI$12&lt;&gt;0,$H57&gt;0,OR(AUTOEVENTO&lt;&gt;"manual",$M57&lt;&gt;$A$15)),
        IF(Import.TipoArredondamento&lt;&gt;"TransfereGOV",
              ROUND(OFFSET($P57,0,AI$13),15-13*ORÇAMENTO!$AF$7)/$H57*OFFSET(ORÇAMENTO!$X$15,ROW(AI57)-ROW(AI$15),0),
              ROUND(ROUND(OFFSET($P57,0,AI$13),15-13*ORÇAMENTO!$AF$7)*OFFSET(ORÇAMENTO!$W$15,ROW(AI57)-ROW(AI$15),0),15-13*ORÇAMENTO!$AF$11)),
         0)</f>
        <v>0</v>
      </c>
      <c r="AJ57" s="354" t="n">
        <f aca="true">IF(AND($D57="Serviço",AJ$12&lt;&gt;0,$H57&gt;0,OR(AUTOEVENTO&lt;&gt;"manual",$M57&lt;&gt;$A$15)),
        IF(Import.TipoArredondamento&lt;&gt;"TransfereGOV",
              ROUND(OFFSET($P57,0,AJ$13),15-13*ORÇAMENTO!$AF$7)/$H57*OFFSET(ORÇAMENTO!$X$15,ROW(AJ57)-ROW(AJ$15),0),
              ROUND(ROUND(OFFSET($P57,0,AJ$13),15-13*ORÇAMENTO!$AF$7)*OFFSET(ORÇAMENTO!$W$15,ROW(AJ57)-ROW(AJ$15),0),15-13*ORÇAMENTO!$AF$11)),
         0)</f>
        <v>0</v>
      </c>
      <c r="AK57" s="354" t="n">
        <f aca="true">IF(AND($D57="Serviço",AK$12&lt;&gt;0,$H57&gt;0,OR(AUTOEVENTO&lt;&gt;"manual",$M57&lt;&gt;$A$15)),
        IF(Import.TipoArredondamento&lt;&gt;"TransfereGOV",
              ROUND(OFFSET($P57,0,AK$13),15-13*ORÇAMENTO!$AF$7)/$H57*OFFSET(ORÇAMENTO!$X$15,ROW(AK57)-ROW(AK$15),0),
              ROUND(ROUND(OFFSET($P57,0,AK$13),15-13*ORÇAMENTO!$AF$7)*OFFSET(ORÇAMENTO!$W$15,ROW(AK57)-ROW(AK$15),0),15-13*ORÇAMENTO!$AF$11)),
         0)</f>
        <v>0</v>
      </c>
      <c r="AM57" s="355" t="n">
        <f aca="true">IF(OR($D57&lt;&gt;"Serviço",AND(AUTOEVENTO="Manual",$M57=$A$15)),0,
         IF(OFFSET(CRONOPLE!$F$15,$M57-$A$15,AM$13)=0,10^12,OFFSET(CRONOPLE!$F$15,$M57-$A$15,AM$13)))</f>
        <v>1000000000000</v>
      </c>
      <c r="AN57" s="355" t="n">
        <f aca="true">IF(OR($D57&lt;&gt;"Serviço",AND(AUTOEVENTO="Manual",$M57=$A$15)),0,
         IF(OFFSET(CRONOPLE!$F$15,$M57-$A$15,AN$13)=0,10^12,OFFSET(CRONOPLE!$F$15,$M57-$A$15,AN$13)))</f>
        <v>1000000000000</v>
      </c>
      <c r="AO57" s="355" t="n">
        <f aca="true">IF(OR($D57&lt;&gt;"Serviço",AND(AUTOEVENTO="Manual",$M57=$A$15)),0,
         IF(OFFSET(CRONOPLE!$F$15,$M57-$A$15,AO$13)=0,10^12,OFFSET(CRONOPLE!$F$15,$M57-$A$15,AO$13)))</f>
        <v>1000000000000</v>
      </c>
      <c r="AP57" s="355" t="n">
        <f aca="true">IF(OR($D57&lt;&gt;"Serviço",AND(AUTOEVENTO="Manual",$M57=$A$15)),0,
         IF(OFFSET(CRONOPLE!$F$15,$M57-$A$15,AP$13)=0,10^12,OFFSET(CRONOPLE!$F$15,$M57-$A$15,AP$13)))</f>
        <v>1000000000000</v>
      </c>
      <c r="AQ57" s="355" t="n">
        <f aca="true">IF(OR($D57&lt;&gt;"Serviço",AND(AUTOEVENTO="Manual",$M57=$A$15)),0,
         IF(OFFSET(CRONOPLE!$F$15,$M57-$A$15,AQ$13)=0,10^12,OFFSET(CRONOPLE!$F$15,$M57-$A$15,AQ$13)))</f>
        <v>1000000000000</v>
      </c>
      <c r="AR57" s="355" t="n">
        <f aca="true">IF(OR($D57&lt;&gt;"Serviço",AND(AUTOEVENTO="Manual",$M57=$A$15)),0,
         IF(OFFSET(CRONOPLE!$F$15,$M57-$A$15,AR$13)=0,10^12,OFFSET(CRONOPLE!$F$15,$M57-$A$15,AR$13)))</f>
        <v>1000000000000</v>
      </c>
      <c r="AS57" s="355" t="n">
        <f aca="true">IF(OR($D57&lt;&gt;"Serviço",AND(AUTOEVENTO="Manual",$M57=$A$15)),0,
         IF(OFFSET(CRONOPLE!$F$15,$M57-$A$15,AS$13)=0,10^12,OFFSET(CRONOPLE!$F$15,$M57-$A$15,AS$13)))</f>
        <v>1000000000000</v>
      </c>
      <c r="AT57" s="355" t="n">
        <f aca="true">IF(OR($D57&lt;&gt;"Serviço",AND(AUTOEVENTO="Manual",$M57=$A$15)),0,
         IF(OFFSET(CRONOPLE!$F$15,$M57-$A$15,AT$13)=0,10^12,OFFSET(CRONOPLE!$F$15,$M57-$A$15,AT$13)))</f>
        <v>1000000000000</v>
      </c>
      <c r="AU57" s="355" t="n">
        <f aca="true">IF(OR($D57&lt;&gt;"Serviço",AND(AUTOEVENTO="Manual",$M57=$A$15)),0,
         IF(OFFSET(CRONOPLE!$F$15,$M57-$A$15,AU$13)=0,10^12,OFFSET(CRONOPLE!$F$15,$M57-$A$15,AU$13)))</f>
        <v>1000000000000</v>
      </c>
      <c r="AV57" s="355" t="n">
        <f aca="true">IF(OR($D57&lt;&gt;"Serviço",AND(AUTOEVENTO="Manual",$M57=$A$15)),0,
         IF(OFFSET(CRONOPLE!$F$15,$M57-$A$15,AV$13)=0,10^12,OFFSET(CRONOPLE!$F$15,$M57-$A$15,AV$13)))</f>
        <v>1000000000000</v>
      </c>
      <c r="AX57" s="356" t="n">
        <f aca="true" t="array" ref="AX57:AX57">IF(OR($D57&lt;&gt;"Serviço",AND(AUTOEVENTO="Manual",$M57=$A$15),$M57&gt;(ROW(PLE.lastrow)-ROW(PLE.firstrow))),0,
           IF(OFFSET(PLE!$G$15,$M57-$A$15,AX$13)="",10^12,OFFSET(PLE!$G$15,$M57-$A$15,AX$13)))</f>
        <v>1000000000000</v>
      </c>
      <c r="AY57" s="356" t="n">
        <f aca="true" t="array" ref="AY57:AY57">IF(OR($D57&lt;&gt;"Serviço",AND(AUTOEVENTO="Manual",$M57=$A$15),$M57&gt;(ROW(PLE.lastrow)-ROW(PLE.firstrow))),0,
           IF(OFFSET(PLE!$G$15,$M57-$A$15,AY$13)="",10^12,OFFSET(PLE!$G$15,$M57-$A$15,AY$13)))</f>
        <v>1000000000000</v>
      </c>
      <c r="AZ57" s="356" t="n">
        <f aca="true" t="array" ref="AZ57:AZ57">IF(OR($D57&lt;&gt;"Serviço",AND(AUTOEVENTO="Manual",$M57=$A$15),$M57&gt;(ROW(PLE.lastrow)-ROW(PLE.firstrow))),0,
           IF(OFFSET(PLE!$G$15,$M57-$A$15,AZ$13)="",10^12,OFFSET(PLE!$G$15,$M57-$A$15,AZ$13)))</f>
        <v>1000000000000</v>
      </c>
      <c r="BA57" s="356" t="n">
        <f aca="true" t="array" ref="BA57:BA57">IF(OR($D57&lt;&gt;"Serviço",AND(AUTOEVENTO="Manual",$M57=$A$15),$M57&gt;(ROW(PLE.lastrow)-ROW(PLE.firstrow))),0,
           IF(OFFSET(PLE!$G$15,$M57-$A$15,BA$13)="",10^12,OFFSET(PLE!$G$15,$M57-$A$15,BA$13)))</f>
        <v>1000000000000</v>
      </c>
      <c r="BB57" s="356" t="n">
        <f aca="true" t="array" ref="BB57:BB57">IF(OR($D57&lt;&gt;"Serviço",AND(AUTOEVENTO="Manual",$M57=$A$15),$M57&gt;(ROW(PLE.lastrow)-ROW(PLE.firstrow))),0,
           IF(OFFSET(PLE!$G$15,$M57-$A$15,BB$13)="",10^12,OFFSET(PLE!$G$15,$M57-$A$15,BB$13)))</f>
        <v>1000000000000</v>
      </c>
      <c r="BC57" s="356" t="n">
        <f aca="true" t="array" ref="BC57:BC57">IF(OR($D57&lt;&gt;"Serviço",AND(AUTOEVENTO="Manual",$M57=$A$15),$M57&gt;(ROW(PLE.lastrow)-ROW(PLE.firstrow))),0,
           IF(OFFSET(PLE!$G$15,$M57-$A$15,BC$13)="",10^12,OFFSET(PLE!$G$15,$M57-$A$15,BC$13)))</f>
        <v>1000000000000</v>
      </c>
      <c r="BD57" s="356" t="n">
        <f aca="true" t="array" ref="BD57:BD57">IF(OR($D57&lt;&gt;"Serviço",AND(AUTOEVENTO="Manual",$M57=$A$15),$M57&gt;(ROW(PLE.lastrow)-ROW(PLE.firstrow))),0,
           IF(OFFSET(PLE!$G$15,$M57-$A$15,BD$13)="",10^12,OFFSET(PLE!$G$15,$M57-$A$15,BD$13)))</f>
        <v>1000000000000</v>
      </c>
      <c r="BE57" s="356" t="n">
        <f aca="true" t="array" ref="BE57:BE57">IF(OR($D57&lt;&gt;"Serviço",AND(AUTOEVENTO="Manual",$M57=$A$15),$M57&gt;(ROW(PLE.lastrow)-ROW(PLE.firstrow))),0,
           IF(OFFSET(PLE!$G$15,$M57-$A$15,BE$13)="",10^12,OFFSET(PLE!$G$15,$M57-$A$15,BE$13)))</f>
        <v>1000000000000</v>
      </c>
      <c r="BF57" s="356" t="n">
        <f aca="true" t="array" ref="BF57:BF57">IF(OR($D57&lt;&gt;"Serviço",AND(AUTOEVENTO="Manual",$M57=$A$15),$M57&gt;(ROW(PLE.lastrow)-ROW(PLE.firstrow))),0,
           IF(OFFSET(PLE!$G$15,$M57-$A$15,BF$13)="",10^12,OFFSET(PLE!$G$15,$M57-$A$15,BF$13)))</f>
        <v>1000000000000</v>
      </c>
      <c r="BG57" s="356" t="n">
        <f aca="true" t="array" ref="BG57:BG57">IF(OR($D57&lt;&gt;"Serviço",AND(AUTOEVENTO="Manual",$M57=$A$15),$M57&gt;(ROW(PLE.lastrow)-ROW(PLE.firstrow))),0,
           IF(OFFSET(PLE!$G$15,$M57-$A$15,BG$13)="",10^12,OFFSET(PLE!$G$15,$M57-$A$15,BG$13)))</f>
        <v>1000000000000</v>
      </c>
    </row>
    <row r="58" customFormat="false" ht="12.75" hidden="false" customHeight="false" outlineLevel="0" collapsed="false">
      <c r="A58" s="48" t="str">
        <f aca="true">IFERROR(IF(AUTOEVENTO="Manual",IF(K58&lt;&gt;"",MIN(VALUE(LEFT(K58,FIND(".",K58)-1)),COUNTA(EVENTOS.Lista)),0),IF(OR($B58&gt;AUTOEVENTO,$B58="S",$B58=0),SUBSTITUTE(OFFSET($A58,-1,0),IF($D58="Serviço",".",""),""),$L58&amp;".")),0)</f>
        <v>40</v>
      </c>
      <c r="B58" s="48" t="str">
        <f aca="true">OFFSET(ORÇAMENTO!C$15,$L58,0)</f>
        <v>S</v>
      </c>
      <c r="C58" s="48" t="str">
        <f aca="true">OFFSET(ORÇAMENTO!L$15,$L58,0)</f>
        <v/>
      </c>
      <c r="D58" s="206" t="str">
        <f aca="true">OFFSET(ORÇAMENTO!N$15,$L58,0)</f>
        <v>Serviço</v>
      </c>
      <c r="E58" s="207" t="str">
        <f aca="true">OFFSET(ORÇAMENTO!O$15,$L58,0)</f>
        <v>-</v>
      </c>
      <c r="F58" s="343" t="str">
        <f aca="true">OFFSET(ORÇAMENTO!R$15,$L58,0)</f>
        <v>(Código não identificado nas referências)</v>
      </c>
      <c r="G58" s="344" t="str">
        <f aca="true">IF($D58&lt;&gt;"Serviço","",OFFSET(ORÇAMENTO!S$15,$L58,0))</f>
        <v>-</v>
      </c>
      <c r="H58" s="212" t="n">
        <f aca="true" t="array" ref="H58:H58">IF($D58&lt;&gt;"Serviço",0,IF(ACOMPANHAMENTO="BM",ROUND(OFFSET(ORÇAMENTO!AJ$15,$L58,0),15-13*ORÇAMENTO!$AF$7),IF(IFERROR(CÁLCULO.FrentesPreenchidas,0)=0,0,SUM(ROUND(OFFSET($P58,0,1,1,CÁLCULO.FrentesPreenchidas),15-13*ORÇAMENTO!$AF$7)))))</f>
        <v>50</v>
      </c>
      <c r="I58" s="345" t="s">
        <v>914</v>
      </c>
      <c r="J58" s="346" t="str">
        <f aca="false" t="array" ref="J58:J58">IF(OR(B58&lt;&gt;"S",CÁLCULO.FrentesPreenchidas=0),"",IF(AND(ACOMPANHAMENTO="PLE",AUTOEVENTO="Manual",OR(H58&gt;0,ORÇAMENTO!AC58="QUANT."),OR(K58="",M58=0,N58="")),"►E",IF(AND(ACOMPANHAMENTO="PLE",ORÇAMENTO!AC58="QUANT."),"►Q",IF(AND(ACOMPANHAMENTO="PLE",H58&lt;&gt;SUMPRODUCT(($Q$1:$AA$1=1)*ROUND(Q58:AA58,15))),"►S",IF(AND(COUNTIF($P$11:$AA$11,"▼")=0,H58&gt;0,I58=""),"◄M","")))))</f>
        <v/>
      </c>
      <c r="K58" s="347"/>
      <c r="L58" s="348" t="n">
        <f aca="true">OFFSET(L58,-1,0)+1</f>
        <v>43</v>
      </c>
      <c r="M58" s="349" t="n">
        <f aca="true">IF($D58&lt;&gt;"Serviço","",
          IF(AUTOEVENTO="manual",$A58,
                IF(ISERROR(MATCH($A58,$A$15:OFFSET($A58,-1,0),0)),MAX($M$15:OFFSET(M58,-1,0))+1,
                      INDEX($M$15:OFFSET(M58,-1,0),MATCH($A58,$A$15:OFFSET($A58,-1,0),0)))))</f>
        <v>11</v>
      </c>
      <c r="N58" s="350" t="str">
        <f aca="true">IF($D58&lt;&gt;"Serviço","",
         IF(AUTOEVENTO="Manual",
                IF($A58=0,"&lt;-- defina o número do agrupador",
                       OFFSET(EVENTOS!$D$15,$A58-$A$15,0)),
                OFFSET($F$15,$A58,0)))</f>
        <v>ILUMINAÇÃO</v>
      </c>
      <c r="O58" s="351"/>
      <c r="Q58" s="351"/>
      <c r="R58" s="352"/>
      <c r="S58" s="352"/>
      <c r="T58" s="352"/>
      <c r="U58" s="352"/>
      <c r="V58" s="352"/>
      <c r="W58" s="352"/>
      <c r="X58" s="352"/>
      <c r="Y58" s="352"/>
      <c r="Z58" s="353"/>
      <c r="AB58" s="354" t="n">
        <f aca="true">IF(AND($D58="Serviço",AB$12&lt;&gt;0,$H58&gt;0,OR(AUTOEVENTO&lt;&gt;"manual",$M58&lt;&gt;$A$15)),
        IF(Import.TipoArredondamento&lt;&gt;"TransfereGOV",
              ROUND(OFFSET($P58,0,AB$13),15-13*ORÇAMENTO!$AF$7)/$H58*OFFSET(ORÇAMENTO!$X$15,ROW(AB58)-ROW(AB$15),0),
              ROUND(ROUND(OFFSET($P58,0,AB$13),15-13*ORÇAMENTO!$AF$7)*OFFSET(ORÇAMENTO!$W$15,ROW(AB58)-ROW(AB$15),0),15-13*ORÇAMENTO!$AF$11)),
         0)</f>
        <v>0</v>
      </c>
      <c r="AC58" s="354" t="n">
        <f aca="true">IF(AND($D58="Serviço",AC$12&lt;&gt;0,$H58&gt;0,OR(AUTOEVENTO&lt;&gt;"manual",$M58&lt;&gt;$A$15)),
        IF(Import.TipoArredondamento&lt;&gt;"TransfereGOV",
              ROUND(OFFSET($P58,0,AC$13),15-13*ORÇAMENTO!$AF$7)/$H58*OFFSET(ORÇAMENTO!$X$15,ROW(AC58)-ROW(AC$15),0),
              ROUND(ROUND(OFFSET($P58,0,AC$13),15-13*ORÇAMENTO!$AF$7)*OFFSET(ORÇAMENTO!$W$15,ROW(AC58)-ROW(AC$15),0),15-13*ORÇAMENTO!$AF$11)),
         0)</f>
        <v>0</v>
      </c>
      <c r="AD58" s="354" t="n">
        <f aca="true">IF(AND($D58="Serviço",AD$12&lt;&gt;0,$H58&gt;0,OR(AUTOEVENTO&lt;&gt;"manual",$M58&lt;&gt;$A$15)),
        IF(Import.TipoArredondamento&lt;&gt;"TransfereGOV",
              ROUND(OFFSET($P58,0,AD$13),15-13*ORÇAMENTO!$AF$7)/$H58*OFFSET(ORÇAMENTO!$X$15,ROW(AD58)-ROW(AD$15),0),
              ROUND(ROUND(OFFSET($P58,0,AD$13),15-13*ORÇAMENTO!$AF$7)*OFFSET(ORÇAMENTO!$W$15,ROW(AD58)-ROW(AD$15),0),15-13*ORÇAMENTO!$AF$11)),
         0)</f>
        <v>0</v>
      </c>
      <c r="AE58" s="354" t="n">
        <f aca="true">IF(AND($D58="Serviço",AE$12&lt;&gt;0,$H58&gt;0,OR(AUTOEVENTO&lt;&gt;"manual",$M58&lt;&gt;$A$15)),
        IF(Import.TipoArredondamento&lt;&gt;"TransfereGOV",
              ROUND(OFFSET($P58,0,AE$13),15-13*ORÇAMENTO!$AF$7)/$H58*OFFSET(ORÇAMENTO!$X$15,ROW(AE58)-ROW(AE$15),0),
              ROUND(ROUND(OFFSET($P58,0,AE$13),15-13*ORÇAMENTO!$AF$7)*OFFSET(ORÇAMENTO!$W$15,ROW(AE58)-ROW(AE$15),0),15-13*ORÇAMENTO!$AF$11)),
         0)</f>
        <v>0</v>
      </c>
      <c r="AF58" s="354" t="n">
        <f aca="true">IF(AND($D58="Serviço",AF$12&lt;&gt;0,$H58&gt;0,OR(AUTOEVENTO&lt;&gt;"manual",$M58&lt;&gt;$A$15)),
        IF(Import.TipoArredondamento&lt;&gt;"TransfereGOV",
              ROUND(OFFSET($P58,0,AF$13),15-13*ORÇAMENTO!$AF$7)/$H58*OFFSET(ORÇAMENTO!$X$15,ROW(AF58)-ROW(AF$15),0),
              ROUND(ROUND(OFFSET($P58,0,AF$13),15-13*ORÇAMENTO!$AF$7)*OFFSET(ORÇAMENTO!$W$15,ROW(AF58)-ROW(AF$15),0),15-13*ORÇAMENTO!$AF$11)),
         0)</f>
        <v>0</v>
      </c>
      <c r="AG58" s="354" t="n">
        <f aca="true">IF(AND($D58="Serviço",AG$12&lt;&gt;0,$H58&gt;0,OR(AUTOEVENTO&lt;&gt;"manual",$M58&lt;&gt;$A$15)),
        IF(Import.TipoArredondamento&lt;&gt;"TransfereGOV",
              ROUND(OFFSET($P58,0,AG$13),15-13*ORÇAMENTO!$AF$7)/$H58*OFFSET(ORÇAMENTO!$X$15,ROW(AG58)-ROW(AG$15),0),
              ROUND(ROUND(OFFSET($P58,0,AG$13),15-13*ORÇAMENTO!$AF$7)*OFFSET(ORÇAMENTO!$W$15,ROW(AG58)-ROW(AG$15),0),15-13*ORÇAMENTO!$AF$11)),
         0)</f>
        <v>0</v>
      </c>
      <c r="AH58" s="354" t="n">
        <f aca="true">IF(AND($D58="Serviço",AH$12&lt;&gt;0,$H58&gt;0,OR(AUTOEVENTO&lt;&gt;"manual",$M58&lt;&gt;$A$15)),
        IF(Import.TipoArredondamento&lt;&gt;"TransfereGOV",
              ROUND(OFFSET($P58,0,AH$13),15-13*ORÇAMENTO!$AF$7)/$H58*OFFSET(ORÇAMENTO!$X$15,ROW(AH58)-ROW(AH$15),0),
              ROUND(ROUND(OFFSET($P58,0,AH$13),15-13*ORÇAMENTO!$AF$7)*OFFSET(ORÇAMENTO!$W$15,ROW(AH58)-ROW(AH$15),0),15-13*ORÇAMENTO!$AF$11)),
         0)</f>
        <v>0</v>
      </c>
      <c r="AI58" s="354" t="n">
        <f aca="true">IF(AND($D58="Serviço",AI$12&lt;&gt;0,$H58&gt;0,OR(AUTOEVENTO&lt;&gt;"manual",$M58&lt;&gt;$A$15)),
        IF(Import.TipoArredondamento&lt;&gt;"TransfereGOV",
              ROUND(OFFSET($P58,0,AI$13),15-13*ORÇAMENTO!$AF$7)/$H58*OFFSET(ORÇAMENTO!$X$15,ROW(AI58)-ROW(AI$15),0),
              ROUND(ROUND(OFFSET($P58,0,AI$13),15-13*ORÇAMENTO!$AF$7)*OFFSET(ORÇAMENTO!$W$15,ROW(AI58)-ROW(AI$15),0),15-13*ORÇAMENTO!$AF$11)),
         0)</f>
        <v>0</v>
      </c>
      <c r="AJ58" s="354" t="n">
        <f aca="true">IF(AND($D58="Serviço",AJ$12&lt;&gt;0,$H58&gt;0,OR(AUTOEVENTO&lt;&gt;"manual",$M58&lt;&gt;$A$15)),
        IF(Import.TipoArredondamento&lt;&gt;"TransfereGOV",
              ROUND(OFFSET($P58,0,AJ$13),15-13*ORÇAMENTO!$AF$7)/$H58*OFFSET(ORÇAMENTO!$X$15,ROW(AJ58)-ROW(AJ$15),0),
              ROUND(ROUND(OFFSET($P58,0,AJ$13),15-13*ORÇAMENTO!$AF$7)*OFFSET(ORÇAMENTO!$W$15,ROW(AJ58)-ROW(AJ$15),0),15-13*ORÇAMENTO!$AF$11)),
         0)</f>
        <v>0</v>
      </c>
      <c r="AK58" s="354" t="n">
        <f aca="true">IF(AND($D58="Serviço",AK$12&lt;&gt;0,$H58&gt;0,OR(AUTOEVENTO&lt;&gt;"manual",$M58&lt;&gt;$A$15)),
        IF(Import.TipoArredondamento&lt;&gt;"TransfereGOV",
              ROUND(OFFSET($P58,0,AK$13),15-13*ORÇAMENTO!$AF$7)/$H58*OFFSET(ORÇAMENTO!$X$15,ROW(AK58)-ROW(AK$15),0),
              ROUND(ROUND(OFFSET($P58,0,AK$13),15-13*ORÇAMENTO!$AF$7)*OFFSET(ORÇAMENTO!$W$15,ROW(AK58)-ROW(AK$15),0),15-13*ORÇAMENTO!$AF$11)),
         0)</f>
        <v>0</v>
      </c>
      <c r="AM58" s="355" t="n">
        <f aca="true">IF(OR($D58&lt;&gt;"Serviço",AND(AUTOEVENTO="Manual",$M58=$A$15)),0,
         IF(OFFSET(CRONOPLE!$F$15,$M58-$A$15,AM$13)=0,10^12,OFFSET(CRONOPLE!$F$15,$M58-$A$15,AM$13)))</f>
        <v>1000000000000</v>
      </c>
      <c r="AN58" s="355" t="n">
        <f aca="true">IF(OR($D58&lt;&gt;"Serviço",AND(AUTOEVENTO="Manual",$M58=$A$15)),0,
         IF(OFFSET(CRONOPLE!$F$15,$M58-$A$15,AN$13)=0,10^12,OFFSET(CRONOPLE!$F$15,$M58-$A$15,AN$13)))</f>
        <v>1000000000000</v>
      </c>
      <c r="AO58" s="355" t="n">
        <f aca="true">IF(OR($D58&lt;&gt;"Serviço",AND(AUTOEVENTO="Manual",$M58=$A$15)),0,
         IF(OFFSET(CRONOPLE!$F$15,$M58-$A$15,AO$13)=0,10^12,OFFSET(CRONOPLE!$F$15,$M58-$A$15,AO$13)))</f>
        <v>1000000000000</v>
      </c>
      <c r="AP58" s="355" t="n">
        <f aca="true">IF(OR($D58&lt;&gt;"Serviço",AND(AUTOEVENTO="Manual",$M58=$A$15)),0,
         IF(OFFSET(CRONOPLE!$F$15,$M58-$A$15,AP$13)=0,10^12,OFFSET(CRONOPLE!$F$15,$M58-$A$15,AP$13)))</f>
        <v>1000000000000</v>
      </c>
      <c r="AQ58" s="355" t="n">
        <f aca="true">IF(OR($D58&lt;&gt;"Serviço",AND(AUTOEVENTO="Manual",$M58=$A$15)),0,
         IF(OFFSET(CRONOPLE!$F$15,$M58-$A$15,AQ$13)=0,10^12,OFFSET(CRONOPLE!$F$15,$M58-$A$15,AQ$13)))</f>
        <v>1000000000000</v>
      </c>
      <c r="AR58" s="355" t="n">
        <f aca="true">IF(OR($D58&lt;&gt;"Serviço",AND(AUTOEVENTO="Manual",$M58=$A$15)),0,
         IF(OFFSET(CRONOPLE!$F$15,$M58-$A$15,AR$13)=0,10^12,OFFSET(CRONOPLE!$F$15,$M58-$A$15,AR$13)))</f>
        <v>1000000000000</v>
      </c>
      <c r="AS58" s="355" t="n">
        <f aca="true">IF(OR($D58&lt;&gt;"Serviço",AND(AUTOEVENTO="Manual",$M58=$A$15)),0,
         IF(OFFSET(CRONOPLE!$F$15,$M58-$A$15,AS$13)=0,10^12,OFFSET(CRONOPLE!$F$15,$M58-$A$15,AS$13)))</f>
        <v>1000000000000</v>
      </c>
      <c r="AT58" s="355" t="n">
        <f aca="true">IF(OR($D58&lt;&gt;"Serviço",AND(AUTOEVENTO="Manual",$M58=$A$15)),0,
         IF(OFFSET(CRONOPLE!$F$15,$M58-$A$15,AT$13)=0,10^12,OFFSET(CRONOPLE!$F$15,$M58-$A$15,AT$13)))</f>
        <v>1000000000000</v>
      </c>
      <c r="AU58" s="355" t="n">
        <f aca="true">IF(OR($D58&lt;&gt;"Serviço",AND(AUTOEVENTO="Manual",$M58=$A$15)),0,
         IF(OFFSET(CRONOPLE!$F$15,$M58-$A$15,AU$13)=0,10^12,OFFSET(CRONOPLE!$F$15,$M58-$A$15,AU$13)))</f>
        <v>1000000000000</v>
      </c>
      <c r="AV58" s="355" t="n">
        <f aca="true">IF(OR($D58&lt;&gt;"Serviço",AND(AUTOEVENTO="Manual",$M58=$A$15)),0,
         IF(OFFSET(CRONOPLE!$F$15,$M58-$A$15,AV$13)=0,10^12,OFFSET(CRONOPLE!$F$15,$M58-$A$15,AV$13)))</f>
        <v>1000000000000</v>
      </c>
      <c r="AX58" s="356" t="n">
        <f aca="true" t="array" ref="AX58:AX58">IF(OR($D58&lt;&gt;"Serviço",AND(AUTOEVENTO="Manual",$M58=$A$15),$M58&gt;(ROW(PLE.lastrow)-ROW(PLE.firstrow))),0,
           IF(OFFSET(PLE!$G$15,$M58-$A$15,AX$13)="",10^12,OFFSET(PLE!$G$15,$M58-$A$15,AX$13)))</f>
        <v>1000000000000</v>
      </c>
      <c r="AY58" s="356" t="n">
        <f aca="true" t="array" ref="AY58:AY58">IF(OR($D58&lt;&gt;"Serviço",AND(AUTOEVENTO="Manual",$M58=$A$15),$M58&gt;(ROW(PLE.lastrow)-ROW(PLE.firstrow))),0,
           IF(OFFSET(PLE!$G$15,$M58-$A$15,AY$13)="",10^12,OFFSET(PLE!$G$15,$M58-$A$15,AY$13)))</f>
        <v>1000000000000</v>
      </c>
      <c r="AZ58" s="356" t="n">
        <f aca="true" t="array" ref="AZ58:AZ58">IF(OR($D58&lt;&gt;"Serviço",AND(AUTOEVENTO="Manual",$M58=$A$15),$M58&gt;(ROW(PLE.lastrow)-ROW(PLE.firstrow))),0,
           IF(OFFSET(PLE!$G$15,$M58-$A$15,AZ$13)="",10^12,OFFSET(PLE!$G$15,$M58-$A$15,AZ$13)))</f>
        <v>1000000000000</v>
      </c>
      <c r="BA58" s="356" t="n">
        <f aca="true" t="array" ref="BA58:BA58">IF(OR($D58&lt;&gt;"Serviço",AND(AUTOEVENTO="Manual",$M58=$A$15),$M58&gt;(ROW(PLE.lastrow)-ROW(PLE.firstrow))),0,
           IF(OFFSET(PLE!$G$15,$M58-$A$15,BA$13)="",10^12,OFFSET(PLE!$G$15,$M58-$A$15,BA$13)))</f>
        <v>1000000000000</v>
      </c>
      <c r="BB58" s="356" t="n">
        <f aca="true" t="array" ref="BB58:BB58">IF(OR($D58&lt;&gt;"Serviço",AND(AUTOEVENTO="Manual",$M58=$A$15),$M58&gt;(ROW(PLE.lastrow)-ROW(PLE.firstrow))),0,
           IF(OFFSET(PLE!$G$15,$M58-$A$15,BB$13)="",10^12,OFFSET(PLE!$G$15,$M58-$A$15,BB$13)))</f>
        <v>1000000000000</v>
      </c>
      <c r="BC58" s="356" t="n">
        <f aca="true" t="array" ref="BC58:BC58">IF(OR($D58&lt;&gt;"Serviço",AND(AUTOEVENTO="Manual",$M58=$A$15),$M58&gt;(ROW(PLE.lastrow)-ROW(PLE.firstrow))),0,
           IF(OFFSET(PLE!$G$15,$M58-$A$15,BC$13)="",10^12,OFFSET(PLE!$G$15,$M58-$A$15,BC$13)))</f>
        <v>1000000000000</v>
      </c>
      <c r="BD58" s="356" t="n">
        <f aca="true" t="array" ref="BD58:BD58">IF(OR($D58&lt;&gt;"Serviço",AND(AUTOEVENTO="Manual",$M58=$A$15),$M58&gt;(ROW(PLE.lastrow)-ROW(PLE.firstrow))),0,
           IF(OFFSET(PLE!$G$15,$M58-$A$15,BD$13)="",10^12,OFFSET(PLE!$G$15,$M58-$A$15,BD$13)))</f>
        <v>1000000000000</v>
      </c>
      <c r="BE58" s="356" t="n">
        <f aca="true" t="array" ref="BE58:BE58">IF(OR($D58&lt;&gt;"Serviço",AND(AUTOEVENTO="Manual",$M58=$A$15),$M58&gt;(ROW(PLE.lastrow)-ROW(PLE.firstrow))),0,
           IF(OFFSET(PLE!$G$15,$M58-$A$15,BE$13)="",10^12,OFFSET(PLE!$G$15,$M58-$A$15,BE$13)))</f>
        <v>1000000000000</v>
      </c>
      <c r="BF58" s="356" t="n">
        <f aca="true" t="array" ref="BF58:BF58">IF(OR($D58&lt;&gt;"Serviço",AND(AUTOEVENTO="Manual",$M58=$A$15),$M58&gt;(ROW(PLE.lastrow)-ROW(PLE.firstrow))),0,
           IF(OFFSET(PLE!$G$15,$M58-$A$15,BF$13)="",10^12,OFFSET(PLE!$G$15,$M58-$A$15,BF$13)))</f>
        <v>1000000000000</v>
      </c>
      <c r="BG58" s="356" t="n">
        <f aca="true" t="array" ref="BG58:BG58">IF(OR($D58&lt;&gt;"Serviço",AND(AUTOEVENTO="Manual",$M58=$A$15),$M58&gt;(ROW(PLE.lastrow)-ROW(PLE.firstrow))),0,
           IF(OFFSET(PLE!$G$15,$M58-$A$15,BG$13)="",10^12,OFFSET(PLE!$G$15,$M58-$A$15,BG$13)))</f>
        <v>1000000000000</v>
      </c>
    </row>
    <row r="59" customFormat="false" ht="4.5" hidden="false" customHeight="true" outlineLevel="0" collapsed="false">
      <c r="B59" s="48" t="n">
        <f aca="true">OFFSET(ORÇAMENTO!C$15,ROW(B59)-ROW(B$15),0)</f>
        <v>-1</v>
      </c>
      <c r="C59" s="48" t="str">
        <f aca="true">OFFSET(ORÇAMENTO!L$15,ROW(C59)-ROW(C$15),0)</f>
        <v>F</v>
      </c>
      <c r="D59" s="367" t="s">
        <v>762</v>
      </c>
      <c r="E59" s="245"/>
      <c r="F59" s="248"/>
      <c r="G59" s="248"/>
      <c r="H59" s="248"/>
      <c r="I59" s="246"/>
      <c r="K59" s="368"/>
      <c r="L59" s="348" t="n">
        <f aca="true">OFFSET(L59,-1,0)+1</f>
        <v>44</v>
      </c>
      <c r="M59" s="369"/>
      <c r="N59" s="370"/>
      <c r="O59" s="371"/>
      <c r="Q59" s="245"/>
      <c r="R59" s="248"/>
      <c r="S59" s="248"/>
      <c r="T59" s="248"/>
      <c r="U59" s="248"/>
      <c r="V59" s="248"/>
      <c r="W59" s="248"/>
      <c r="X59" s="248"/>
      <c r="Y59" s="248"/>
      <c r="Z59" s="246"/>
      <c r="AB59" s="372"/>
      <c r="AC59" s="373"/>
      <c r="AD59" s="373"/>
      <c r="AE59" s="373"/>
      <c r="AF59" s="373"/>
      <c r="AG59" s="373"/>
      <c r="AH59" s="373"/>
      <c r="AI59" s="373"/>
      <c r="AJ59" s="373"/>
      <c r="AK59" s="374"/>
      <c r="AM59" s="372"/>
      <c r="AN59" s="373"/>
      <c r="AO59" s="373"/>
      <c r="AP59" s="373"/>
      <c r="AQ59" s="373"/>
      <c r="AR59" s="373"/>
      <c r="AS59" s="373"/>
      <c r="AT59" s="373"/>
      <c r="AU59" s="373"/>
      <c r="AV59" s="374"/>
      <c r="AX59" s="372"/>
      <c r="AY59" s="373"/>
      <c r="AZ59" s="373"/>
      <c r="BA59" s="373"/>
      <c r="BB59" s="373"/>
      <c r="BC59" s="373"/>
      <c r="BD59" s="373"/>
      <c r="BE59" s="373"/>
      <c r="BF59" s="373"/>
      <c r="BG59" s="374"/>
    </row>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5" hidden="false" customHeight="true" outlineLevel="0" collapsed="false">
      <c r="F63" s="303" t="str">
        <f aca="false">Import.Município</f>
        <v>TRAMANDAI/RS</v>
      </c>
      <c r="I63" s="259"/>
      <c r="J63" s="259"/>
      <c r="K63" s="259"/>
      <c r="L63" s="259"/>
      <c r="M63" s="375"/>
      <c r="N63" s="46"/>
      <c r="T63" s="259"/>
      <c r="U63" s="259"/>
      <c r="V63" s="46"/>
      <c r="W63" s="46"/>
      <c r="X63" s="46"/>
      <c r="Y63" s="46"/>
    </row>
    <row r="64" customFormat="false" ht="12.75" hidden="false" customHeight="true" outlineLevel="0" collapsed="false">
      <c r="F64" s="52" t="s">
        <v>755</v>
      </c>
      <c r="I64" s="260" t="s">
        <v>758</v>
      </c>
      <c r="J64" s="260"/>
      <c r="K64" s="260"/>
      <c r="L64" s="260"/>
      <c r="T64" s="260" t="s">
        <v>758</v>
      </c>
      <c r="U64" s="260"/>
    </row>
    <row r="65" customFormat="false" ht="12.75" hidden="false" customHeight="true" outlineLevel="0" collapsed="false">
      <c r="I65" s="305" t="str">
        <f aca="true" t="array" ref="I65:I67">OFFSET(Import.RespOrçamento,0,-1) &amp; " " &amp; Import.RespOrçamento</f>
        <v>Nome: Jaqueline Ferreira / Marcio R. Maciel</v>
      </c>
      <c r="K65" s="150"/>
      <c r="L65" s="150"/>
      <c r="T65" s="305" t="str">
        <f aca="true" t="array" ref="T65:T67">OFFSET(Import.RespOrçamento,0,-1) &amp; " " &amp; Import.RespOrçamento</f>
        <v>Nome: Jaqueline Ferreira / Marcio R. Maciel</v>
      </c>
      <c r="U65" s="149"/>
    </row>
    <row r="66" customFormat="false" ht="12.75" hidden="false" customHeight="true" outlineLevel="0" collapsed="false">
      <c r="F66" s="306" t="n">
        <f aca="false">DADOS!$C$25</f>
        <v>46098</v>
      </c>
      <c r="I66" s="305" t="str">
        <v>CREA/CAU:  CAU A152414-3  / CREA RS236197</v>
      </c>
      <c r="K66" s="150"/>
      <c r="L66" s="150"/>
      <c r="T66" s="305" t="str">
        <v>CREA/CAU:  CAU A152414-3  / CREA RS236197</v>
      </c>
      <c r="U66" s="149"/>
    </row>
    <row r="67" customFormat="false" ht="12.75" hidden="false" customHeight="true" outlineLevel="0" collapsed="false">
      <c r="F67" s="262" t="s">
        <v>756</v>
      </c>
      <c r="I67" s="305" t="str">
        <v>ART/RRT: </v>
      </c>
      <c r="K67" s="150"/>
      <c r="L67" s="150"/>
      <c r="T67" s="305" t="str">
        <v>ART/RRT: </v>
      </c>
      <c r="U67" s="149"/>
    </row>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2.75" hidden="false" customHeight="true" outlineLevel="0" collapsed="false"/>
    <row r="402" customFormat="false" ht="12.75" hidden="false" customHeight="true" outlineLevel="0" collapsed="false"/>
    <row r="403" customFormat="false" ht="12.75" hidden="false" customHeight="true" outlineLevel="0" collapsed="false"/>
    <row r="404" customFormat="false" ht="12.75" hidden="false" customHeight="true" outlineLevel="0" collapsed="false"/>
    <row r="405" customFormat="false" ht="12.75" hidden="false" customHeight="true" outlineLevel="0" collapsed="false"/>
    <row r="406" customFormat="false" ht="12.75" hidden="false" customHeight="true" outlineLevel="0" collapsed="false"/>
    <row r="407" customFormat="false" ht="12.75" hidden="false" customHeight="true" outlineLevel="0" collapsed="false"/>
    <row r="408" customFormat="false" ht="12.75" hidden="false" customHeight="true" outlineLevel="0" collapsed="false"/>
    <row r="409" customFormat="false" ht="12.75" hidden="false" customHeight="true" outlineLevel="0" collapsed="false"/>
    <row r="410" customFormat="false" ht="12.75" hidden="false" customHeight="true" outlineLevel="0" collapsed="false"/>
    <row r="411" customFormat="false" ht="12.75" hidden="false" customHeight="true" outlineLevel="0" collapsed="false"/>
    <row r="412" customFormat="false" ht="12.75" hidden="false" customHeight="true" outlineLevel="0" collapsed="false"/>
    <row r="413" customFormat="false" ht="12.75" hidden="false" customHeight="true" outlineLevel="0" collapsed="false"/>
    <row r="414" customFormat="false" ht="12.75" hidden="false" customHeight="true" outlineLevel="0" collapsed="false"/>
    <row r="415" customFormat="false" ht="12.75" hidden="false" customHeight="true" outlineLevel="0" collapsed="false"/>
    <row r="416" customFormat="false" ht="12.75" hidden="false" customHeight="true" outlineLevel="0" collapsed="false"/>
    <row r="417" customFormat="false" ht="12.75" hidden="false" customHeight="true" outlineLevel="0" collapsed="false"/>
    <row r="418" customFormat="false" ht="12.75" hidden="false" customHeight="true" outlineLevel="0" collapsed="false"/>
    <row r="419" customFormat="false" ht="12.75" hidden="false" customHeight="true" outlineLevel="0" collapsed="false"/>
    <row r="420" customFormat="false" ht="12.75" hidden="false" customHeight="true" outlineLevel="0" collapsed="false"/>
    <row r="421" customFormat="false" ht="12.75" hidden="false" customHeight="true" outlineLevel="0" collapsed="false"/>
    <row r="422" customFormat="false" ht="12.75" hidden="false" customHeight="true" outlineLevel="0" collapsed="false"/>
    <row r="423" customFormat="false" ht="12.75" hidden="false" customHeight="true" outlineLevel="0" collapsed="false"/>
    <row r="424" customFormat="false" ht="12.75" hidden="false" customHeight="true" outlineLevel="0" collapsed="false"/>
    <row r="425" customFormat="false" ht="12.75" hidden="false" customHeight="true" outlineLevel="0" collapsed="false"/>
    <row r="426" customFormat="false" ht="12.75" hidden="false" customHeight="true" outlineLevel="0" collapsed="false"/>
    <row r="427" customFormat="false" ht="12.75" hidden="false" customHeight="true" outlineLevel="0" collapsed="false"/>
    <row r="428" customFormat="false" ht="12.75" hidden="false" customHeight="true" outlineLevel="0" collapsed="false"/>
    <row r="429" customFormat="false" ht="12.75" hidden="false" customHeight="true" outlineLevel="0" collapsed="false"/>
    <row r="430" customFormat="false" ht="12.75" hidden="false" customHeight="true" outlineLevel="0" collapsed="false"/>
    <row r="431" customFormat="false" ht="12.75" hidden="false" customHeight="true" outlineLevel="0" collapsed="false"/>
    <row r="432" customFormat="false" ht="12.75" hidden="false" customHeight="true" outlineLevel="0" collapsed="false"/>
    <row r="433" customFormat="false" ht="12.75" hidden="false" customHeight="true" outlineLevel="0" collapsed="false"/>
    <row r="434" customFormat="false" ht="12.75" hidden="false" customHeight="true" outlineLevel="0" collapsed="false"/>
    <row r="435" customFormat="false" ht="12.75" hidden="false" customHeight="true" outlineLevel="0" collapsed="false"/>
    <row r="436" customFormat="false" ht="12.75" hidden="false" customHeight="true" outlineLevel="0" collapsed="false"/>
    <row r="437" customFormat="false" ht="12.75" hidden="false" customHeight="true" outlineLevel="0" collapsed="false"/>
    <row r="438" customFormat="false" ht="12.75" hidden="false" customHeight="true" outlineLevel="0" collapsed="false"/>
    <row r="439" customFormat="false" ht="12.75" hidden="false" customHeight="true" outlineLevel="0" collapsed="false"/>
    <row r="440" customFormat="false" ht="12.75" hidden="false" customHeight="true" outlineLevel="0" collapsed="false"/>
    <row r="441" customFormat="false" ht="12.75" hidden="false" customHeight="true" outlineLevel="0" collapsed="false"/>
    <row r="442" customFormat="false" ht="12.75" hidden="false" customHeight="true" outlineLevel="0" collapsed="false"/>
    <row r="443" customFormat="false" ht="12.75" hidden="false" customHeight="true" outlineLevel="0" collapsed="false"/>
    <row r="444" customFormat="false" ht="12.75" hidden="false" customHeight="true" outlineLevel="0" collapsed="false"/>
    <row r="445" customFormat="false" ht="12.75" hidden="false" customHeight="true" outlineLevel="0" collapsed="false"/>
    <row r="446" customFormat="false" ht="12.75" hidden="false" customHeight="true" outlineLevel="0" collapsed="false"/>
    <row r="447" customFormat="false" ht="12.75" hidden="false" customHeight="true" outlineLevel="0" collapsed="false"/>
    <row r="448" customFormat="false" ht="12.75" hidden="false" customHeight="true" outlineLevel="0" collapsed="false"/>
    <row r="449" customFormat="false" ht="12.75" hidden="false" customHeight="true" outlineLevel="0" collapsed="false"/>
    <row r="450" customFormat="false" ht="12.75" hidden="false" customHeight="true" outlineLevel="0" collapsed="false"/>
    <row r="451" customFormat="false" ht="12.75" hidden="false" customHeight="true" outlineLevel="0" collapsed="false"/>
    <row r="452" customFormat="false" ht="12.75" hidden="false" customHeight="true" outlineLevel="0" collapsed="false"/>
    <row r="453" customFormat="false" ht="12.75" hidden="false" customHeight="true" outlineLevel="0" collapsed="false"/>
    <row r="454" customFormat="false" ht="12.75" hidden="false" customHeight="true" outlineLevel="0" collapsed="false"/>
    <row r="455" customFormat="false" ht="12.75" hidden="false" customHeight="true" outlineLevel="0" collapsed="false"/>
    <row r="456" customFormat="false" ht="12.75" hidden="false" customHeight="true" outlineLevel="0" collapsed="false"/>
    <row r="457" customFormat="false" ht="12.75" hidden="false" customHeight="true" outlineLevel="0" collapsed="false"/>
    <row r="458" customFormat="false" ht="12.75" hidden="false" customHeight="true" outlineLevel="0" collapsed="false"/>
    <row r="459" customFormat="false" ht="12.75" hidden="false" customHeight="true" outlineLevel="0" collapsed="false"/>
    <row r="460" customFormat="false" ht="12.75" hidden="false" customHeight="true" outlineLevel="0" collapsed="false"/>
    <row r="461" customFormat="false" ht="12.75" hidden="false" customHeight="true" outlineLevel="0" collapsed="false"/>
    <row r="462" customFormat="false" ht="12.75" hidden="false" customHeight="true" outlineLevel="0" collapsed="false"/>
    <row r="463" customFormat="false" ht="12.75" hidden="false" customHeight="true" outlineLevel="0" collapsed="false"/>
    <row r="464" customFormat="false" ht="12.75" hidden="false" customHeight="true" outlineLevel="0" collapsed="false"/>
    <row r="465" customFormat="false" ht="12.75" hidden="false" customHeight="true" outlineLevel="0" collapsed="false"/>
    <row r="466" customFormat="false" ht="12.75" hidden="false" customHeight="true" outlineLevel="0" collapsed="false"/>
    <row r="467" customFormat="false" ht="12.75" hidden="false" customHeight="true" outlineLevel="0" collapsed="false"/>
    <row r="468" customFormat="false" ht="12.75" hidden="false" customHeight="true" outlineLevel="0" collapsed="false"/>
    <row r="469" customFormat="false" ht="12.75" hidden="false" customHeight="true" outlineLevel="0" collapsed="false"/>
    <row r="470" customFormat="false" ht="12.75" hidden="false" customHeight="true" outlineLevel="0" collapsed="false"/>
    <row r="471" customFormat="false" ht="12.75" hidden="false" customHeight="true" outlineLevel="0" collapsed="false"/>
    <row r="472" customFormat="false" ht="12.75" hidden="false" customHeight="true" outlineLevel="0" collapsed="false"/>
    <row r="473" customFormat="false" ht="12.75" hidden="false" customHeight="true" outlineLevel="0" collapsed="false"/>
    <row r="474" customFormat="false" ht="12.75" hidden="false" customHeight="true" outlineLevel="0" collapsed="false"/>
    <row r="475" customFormat="false" ht="12.75" hidden="false" customHeight="true" outlineLevel="0" collapsed="false"/>
    <row r="476" customFormat="false" ht="12.75" hidden="false" customHeight="true" outlineLevel="0" collapsed="false"/>
    <row r="477" customFormat="false" ht="12.75" hidden="false" customHeight="true" outlineLevel="0" collapsed="false"/>
    <row r="478" customFormat="false" ht="12.75" hidden="false" customHeight="true" outlineLevel="0" collapsed="false"/>
    <row r="479" customFormat="false" ht="12.75" hidden="false" customHeight="true" outlineLevel="0" collapsed="false"/>
    <row r="480" customFormat="false" ht="12.75" hidden="false" customHeight="true" outlineLevel="0" collapsed="false"/>
    <row r="481" customFormat="false" ht="12.75" hidden="false" customHeight="true" outlineLevel="0" collapsed="false"/>
    <row r="482" customFormat="false" ht="12.75" hidden="false" customHeight="true" outlineLevel="0" collapsed="false"/>
    <row r="483" customFormat="false" ht="12.75" hidden="false" customHeight="true" outlineLevel="0" collapsed="false"/>
    <row r="484" customFormat="false" ht="12.75" hidden="false" customHeight="true" outlineLevel="0" collapsed="false"/>
    <row r="485" customFormat="false" ht="12.75" hidden="false" customHeight="true" outlineLevel="0" collapsed="false"/>
    <row r="486" customFormat="false" ht="12.75" hidden="false" customHeight="true" outlineLevel="0" collapsed="false"/>
    <row r="487" customFormat="false" ht="12.75" hidden="false" customHeight="true" outlineLevel="0" collapsed="false"/>
    <row r="488" customFormat="false" ht="12.75" hidden="false" customHeight="true" outlineLevel="0" collapsed="false"/>
    <row r="489" customFormat="false" ht="12.75" hidden="false" customHeight="true" outlineLevel="0" collapsed="false"/>
    <row r="490" customFormat="false" ht="12.75" hidden="false" customHeight="true" outlineLevel="0" collapsed="false"/>
    <row r="491" customFormat="false" ht="12.75" hidden="false" customHeight="true" outlineLevel="0" collapsed="false"/>
    <row r="492" customFormat="false" ht="12.75" hidden="false" customHeight="true" outlineLevel="0" collapsed="false"/>
    <row r="493" customFormat="false" ht="12.75" hidden="false" customHeight="true" outlineLevel="0" collapsed="false"/>
    <row r="494" customFormat="false" ht="12.75" hidden="false" customHeight="true" outlineLevel="0" collapsed="false"/>
    <row r="495" customFormat="false" ht="12.75" hidden="false" customHeight="true" outlineLevel="0" collapsed="false"/>
    <row r="496" customFormat="false" ht="12.75" hidden="false" customHeight="true" outlineLevel="0" collapsed="false"/>
    <row r="497" customFormat="false" ht="12.75" hidden="false" customHeight="true" outlineLevel="0" collapsed="false"/>
    <row r="498" customFormat="false" ht="12.75" hidden="false" customHeight="true" outlineLevel="0" collapsed="false"/>
    <row r="499" customFormat="false" ht="12.75" hidden="false" customHeight="true" outlineLevel="0" collapsed="false"/>
    <row r="500" customFormat="false" ht="12.75" hidden="false" customHeight="true" outlineLevel="0" collapsed="false"/>
    <row r="501" customFormat="false" ht="12.75" hidden="false" customHeight="true" outlineLevel="0" collapsed="false"/>
    <row r="502" customFormat="false" ht="12.75" hidden="false" customHeight="true" outlineLevel="0" collapsed="false"/>
    <row r="503" customFormat="false" ht="12.75" hidden="false" customHeight="true" outlineLevel="0" collapsed="false"/>
    <row r="504" customFormat="false" ht="12.75" hidden="false" customHeight="true" outlineLevel="0" collapsed="false"/>
    <row r="505" customFormat="false" ht="12.75" hidden="false" customHeight="true" outlineLevel="0" collapsed="false"/>
    <row r="506" customFormat="false" ht="12.75" hidden="false" customHeight="true" outlineLevel="0" collapsed="false"/>
    <row r="507" customFormat="false" ht="12.75" hidden="false" customHeight="true" outlineLevel="0" collapsed="false"/>
    <row r="508" customFormat="false" ht="12.75" hidden="false" customHeight="true" outlineLevel="0" collapsed="false"/>
    <row r="509" customFormat="false" ht="12.75" hidden="false" customHeight="true" outlineLevel="0" collapsed="false"/>
    <row r="510" customFormat="false" ht="12.75" hidden="false" customHeight="true" outlineLevel="0" collapsed="false"/>
    <row r="511" customFormat="false" ht="12.75" hidden="false" customHeight="true" outlineLevel="0" collapsed="false"/>
    <row r="512" customFormat="false" ht="12.75" hidden="false" customHeight="true" outlineLevel="0" collapsed="false"/>
    <row r="513" customFormat="false" ht="12.75" hidden="false" customHeight="true" outlineLevel="0" collapsed="false"/>
    <row r="514" customFormat="false" ht="12.75" hidden="false" customHeight="true" outlineLevel="0" collapsed="false"/>
    <row r="515" customFormat="false" ht="12.75" hidden="false" customHeight="true" outlineLevel="0" collapsed="false"/>
    <row r="516" customFormat="false" ht="12.75" hidden="false" customHeight="true" outlineLevel="0" collapsed="false"/>
    <row r="517" customFormat="false" ht="12.75" hidden="false" customHeight="true" outlineLevel="0" collapsed="false"/>
    <row r="518" customFormat="false" ht="12.75" hidden="false" customHeight="true" outlineLevel="0" collapsed="false"/>
    <row r="519" customFormat="false" ht="12.75" hidden="false" customHeight="true" outlineLevel="0" collapsed="false"/>
    <row r="520" customFormat="false" ht="12.75" hidden="false" customHeight="true" outlineLevel="0" collapsed="false"/>
    <row r="521" customFormat="false" ht="12.75" hidden="false" customHeight="true" outlineLevel="0" collapsed="false"/>
    <row r="522" customFormat="false" ht="12.75" hidden="false" customHeight="true" outlineLevel="0" collapsed="false"/>
    <row r="523" customFormat="false" ht="12.75" hidden="false" customHeight="true" outlineLevel="0" collapsed="false"/>
    <row r="524" customFormat="false" ht="12.75" hidden="false" customHeight="true" outlineLevel="0" collapsed="false"/>
    <row r="525" customFormat="false" ht="12.75" hidden="false" customHeight="true" outlineLevel="0" collapsed="false"/>
    <row r="526" customFormat="false" ht="12.75" hidden="false" customHeight="true" outlineLevel="0" collapsed="false"/>
    <row r="527" customFormat="false" ht="12.75" hidden="false" customHeight="true" outlineLevel="0" collapsed="false"/>
    <row r="528" customFormat="false" ht="12.75" hidden="false" customHeight="true" outlineLevel="0" collapsed="false"/>
    <row r="529" customFormat="false" ht="12.75" hidden="false" customHeight="true" outlineLevel="0" collapsed="false"/>
    <row r="530" customFormat="false" ht="12.75" hidden="false" customHeight="true" outlineLevel="0" collapsed="false"/>
    <row r="531" customFormat="false" ht="12.75" hidden="false" customHeight="true" outlineLevel="0" collapsed="false"/>
    <row r="532" customFormat="false" ht="12.75" hidden="false" customHeight="true" outlineLevel="0" collapsed="false"/>
    <row r="533" customFormat="false" ht="12.75" hidden="false" customHeight="true" outlineLevel="0" collapsed="false"/>
    <row r="534" customFormat="false" ht="12.75" hidden="false" customHeight="true" outlineLevel="0" collapsed="false"/>
    <row r="535" customFormat="false" ht="12.75" hidden="false" customHeight="true" outlineLevel="0" collapsed="false"/>
    <row r="536" customFormat="false" ht="12.75" hidden="false" customHeight="true" outlineLevel="0" collapsed="false"/>
    <row r="537" customFormat="false" ht="12.75" hidden="false" customHeight="true" outlineLevel="0" collapsed="false"/>
    <row r="538" customFormat="false" ht="12.75" hidden="false" customHeight="true" outlineLevel="0" collapsed="false"/>
    <row r="539" customFormat="false" ht="12.75" hidden="false" customHeight="true" outlineLevel="0" collapsed="false"/>
    <row r="540" customFormat="false" ht="12.75" hidden="false" customHeight="true" outlineLevel="0" collapsed="false"/>
    <row r="541" customFormat="false" ht="12.75" hidden="false" customHeight="true" outlineLevel="0" collapsed="false"/>
    <row r="542" customFormat="false" ht="12.75" hidden="false" customHeight="true" outlineLevel="0" collapsed="false"/>
    <row r="543" customFormat="false" ht="12.75" hidden="false" customHeight="true" outlineLevel="0" collapsed="false"/>
    <row r="544" customFormat="false" ht="12.75" hidden="false" customHeight="true" outlineLevel="0" collapsed="false"/>
    <row r="545" customFormat="false" ht="12.75" hidden="false" customHeight="true" outlineLevel="0" collapsed="false"/>
    <row r="546" customFormat="false" ht="12.75" hidden="false" customHeight="true" outlineLevel="0" collapsed="false"/>
    <row r="547" customFormat="false" ht="12.75" hidden="false" customHeight="true" outlineLevel="0" collapsed="false"/>
    <row r="548" customFormat="false" ht="12.75" hidden="false" customHeight="true" outlineLevel="0" collapsed="false"/>
    <row r="549" customFormat="false" ht="12.75" hidden="false" customHeight="true" outlineLevel="0" collapsed="false"/>
    <row r="550" customFormat="false" ht="12.75" hidden="false" customHeight="true" outlineLevel="0" collapsed="false"/>
    <row r="551" customFormat="false" ht="12.75" hidden="false" customHeight="true" outlineLevel="0" collapsed="false"/>
    <row r="552" customFormat="false" ht="12.75" hidden="false" customHeight="true" outlineLevel="0" collapsed="false"/>
    <row r="553" customFormat="false" ht="12.75" hidden="false" customHeight="true" outlineLevel="0" collapsed="false"/>
    <row r="554" customFormat="false" ht="12.75" hidden="false" customHeight="true" outlineLevel="0" collapsed="false"/>
    <row r="555" customFormat="false" ht="12.75" hidden="false" customHeight="true" outlineLevel="0" collapsed="false"/>
    <row r="556" customFormat="false" ht="12.75" hidden="false" customHeight="true" outlineLevel="0" collapsed="false"/>
    <row r="557" customFormat="false" ht="12.75" hidden="false" customHeight="true" outlineLevel="0" collapsed="false"/>
    <row r="558" customFormat="false" ht="12.75" hidden="false" customHeight="true" outlineLevel="0" collapsed="false"/>
    <row r="559" customFormat="false" ht="12.75" hidden="false" customHeight="true" outlineLevel="0" collapsed="false"/>
    <row r="560" customFormat="false" ht="12.75" hidden="false" customHeight="true" outlineLevel="0" collapsed="false"/>
    <row r="561" customFormat="false" ht="12.75" hidden="false" customHeight="true" outlineLevel="0" collapsed="false"/>
    <row r="562" customFormat="false" ht="12.75" hidden="false" customHeight="true" outlineLevel="0" collapsed="false"/>
    <row r="563" customFormat="false" ht="12.75" hidden="false" customHeight="true" outlineLevel="0" collapsed="false"/>
    <row r="564" customFormat="false" ht="12.75" hidden="false" customHeight="true" outlineLevel="0" collapsed="false"/>
    <row r="565" customFormat="false" ht="12.75" hidden="false" customHeight="true" outlineLevel="0" collapsed="false"/>
    <row r="566" customFormat="false" ht="12.75" hidden="false" customHeight="true" outlineLevel="0" collapsed="false"/>
    <row r="567" customFormat="false" ht="12.75" hidden="false" customHeight="true" outlineLevel="0" collapsed="false"/>
    <row r="568" customFormat="false" ht="12.75" hidden="false" customHeight="true" outlineLevel="0" collapsed="false"/>
    <row r="569" customFormat="false" ht="12.75" hidden="false" customHeight="true" outlineLevel="0" collapsed="false"/>
    <row r="570" customFormat="false" ht="12.75" hidden="false" customHeight="true" outlineLevel="0" collapsed="false"/>
    <row r="571" customFormat="false" ht="12.75" hidden="false" customHeight="true" outlineLevel="0" collapsed="false"/>
    <row r="572" customFormat="false" ht="12.75" hidden="false" customHeight="true" outlineLevel="0" collapsed="false"/>
    <row r="573" customFormat="false" ht="12.75" hidden="false" customHeight="true" outlineLevel="0" collapsed="false"/>
    <row r="574" customFormat="false" ht="12.75" hidden="false" customHeight="true" outlineLevel="0" collapsed="false"/>
    <row r="575" customFormat="false" ht="12.75" hidden="false" customHeight="true" outlineLevel="0" collapsed="false"/>
    <row r="576" customFormat="false" ht="12.75" hidden="false" customHeight="true" outlineLevel="0" collapsed="false"/>
    <row r="577" customFormat="false" ht="12.75" hidden="false" customHeight="true" outlineLevel="0" collapsed="false"/>
    <row r="578" customFormat="false" ht="12.75" hidden="false" customHeight="true" outlineLevel="0" collapsed="false"/>
    <row r="579" customFormat="false" ht="12.75" hidden="false" customHeight="true" outlineLevel="0" collapsed="false"/>
    <row r="580" customFormat="false" ht="12.75" hidden="false" customHeight="true" outlineLevel="0" collapsed="false"/>
    <row r="581" customFormat="false" ht="12.75" hidden="false" customHeight="true" outlineLevel="0" collapsed="false"/>
    <row r="582" customFormat="false" ht="12.75" hidden="false" customHeight="true" outlineLevel="0" collapsed="false"/>
    <row r="583" customFormat="false" ht="12.75" hidden="false" customHeight="true" outlineLevel="0" collapsed="false"/>
    <row r="584" customFormat="false" ht="12.75" hidden="false" customHeight="true" outlineLevel="0" collapsed="false"/>
    <row r="585" customFormat="false" ht="12.75" hidden="false" customHeight="true" outlineLevel="0" collapsed="false"/>
    <row r="586" customFormat="false" ht="12.75" hidden="false" customHeight="true" outlineLevel="0" collapsed="false"/>
    <row r="587" customFormat="false" ht="12.75" hidden="false" customHeight="true" outlineLevel="0" collapsed="false"/>
    <row r="588" customFormat="false" ht="12.75" hidden="false" customHeight="true" outlineLevel="0" collapsed="false"/>
    <row r="589" customFormat="false" ht="12.75" hidden="false" customHeight="true" outlineLevel="0" collapsed="false"/>
    <row r="590" customFormat="false" ht="12.75" hidden="false" customHeight="true" outlineLevel="0" collapsed="false"/>
    <row r="591" customFormat="false" ht="12.75" hidden="false" customHeight="true" outlineLevel="0" collapsed="false"/>
    <row r="592" customFormat="false" ht="12.75" hidden="false" customHeight="true" outlineLevel="0" collapsed="false"/>
    <row r="593" customFormat="false" ht="12.75" hidden="false" customHeight="true" outlineLevel="0" collapsed="false"/>
    <row r="594" customFormat="false" ht="12.75" hidden="false" customHeight="true" outlineLevel="0" collapsed="false"/>
    <row r="595" customFormat="false" ht="12.75" hidden="false" customHeight="true" outlineLevel="0" collapsed="false"/>
    <row r="596" customFormat="false" ht="12.75" hidden="false" customHeight="true" outlineLevel="0" collapsed="false"/>
    <row r="597" customFormat="false" ht="12.75" hidden="false" customHeight="true" outlineLevel="0" collapsed="false"/>
    <row r="598" customFormat="false" ht="12.75" hidden="false" customHeight="true" outlineLevel="0" collapsed="false"/>
    <row r="599" customFormat="false" ht="12.75" hidden="false" customHeight="true" outlineLevel="0" collapsed="false"/>
    <row r="600" customFormat="false" ht="12.75" hidden="false" customHeight="true" outlineLevel="0" collapsed="false"/>
    <row r="601" customFormat="false" ht="12.75" hidden="false" customHeight="true" outlineLevel="0" collapsed="false"/>
    <row r="602" customFormat="false" ht="12.75" hidden="false" customHeight="true" outlineLevel="0" collapsed="false"/>
    <row r="603" customFormat="false" ht="12.75" hidden="false" customHeight="true" outlineLevel="0" collapsed="false"/>
    <row r="604" customFormat="false" ht="12.75" hidden="false" customHeight="true" outlineLevel="0" collapsed="false"/>
    <row r="605" customFormat="false" ht="12.75" hidden="false" customHeight="true" outlineLevel="0" collapsed="false"/>
    <row r="606" customFormat="false" ht="12.75" hidden="false" customHeight="true" outlineLevel="0" collapsed="false"/>
    <row r="607" customFormat="false" ht="12.75" hidden="false" customHeight="true" outlineLevel="0" collapsed="false"/>
    <row r="608" customFormat="false" ht="12.75" hidden="false" customHeight="true" outlineLevel="0" collapsed="false"/>
    <row r="609" customFormat="false" ht="12.75" hidden="false" customHeight="true" outlineLevel="0" collapsed="false"/>
    <row r="610" customFormat="false" ht="12.75" hidden="false" customHeight="true" outlineLevel="0" collapsed="false"/>
    <row r="611" customFormat="false" ht="12.75" hidden="false" customHeight="true" outlineLevel="0" collapsed="false"/>
    <row r="612" customFormat="false" ht="12.75" hidden="false" customHeight="true" outlineLevel="0" collapsed="false"/>
    <row r="613" customFormat="false" ht="12.75" hidden="false" customHeight="true" outlineLevel="0" collapsed="false"/>
    <row r="614" customFormat="false" ht="12.75" hidden="false" customHeight="true" outlineLevel="0" collapsed="false"/>
    <row r="615" customFormat="false" ht="12.75" hidden="false" customHeight="true" outlineLevel="0" collapsed="false"/>
    <row r="616" customFormat="false" ht="12.75" hidden="false" customHeight="true" outlineLevel="0" collapsed="false"/>
    <row r="617" customFormat="false" ht="12.75" hidden="false" customHeight="true" outlineLevel="0" collapsed="false"/>
    <row r="618" customFormat="false" ht="12.75" hidden="false" customHeight="true" outlineLevel="0" collapsed="false"/>
    <row r="619" customFormat="false" ht="12.75" hidden="false" customHeight="true" outlineLevel="0" collapsed="false"/>
    <row r="620" customFormat="false" ht="12.75" hidden="false" customHeight="true" outlineLevel="0" collapsed="false"/>
    <row r="621" customFormat="false" ht="12.75" hidden="false" customHeight="true" outlineLevel="0" collapsed="false"/>
    <row r="622" customFormat="false" ht="12.75" hidden="false" customHeight="true" outlineLevel="0" collapsed="false"/>
    <row r="623" customFormat="false" ht="12.75" hidden="false" customHeight="true" outlineLevel="0" collapsed="false"/>
    <row r="624" customFormat="false" ht="12.75" hidden="false" customHeight="true" outlineLevel="0" collapsed="false"/>
    <row r="625" customFormat="false" ht="12.75" hidden="false" customHeight="true" outlineLevel="0" collapsed="false"/>
    <row r="626" customFormat="false" ht="12.75" hidden="false" customHeight="true" outlineLevel="0" collapsed="false"/>
    <row r="627" customFormat="false" ht="12.75" hidden="false" customHeight="true" outlineLevel="0" collapsed="false"/>
    <row r="628" customFormat="false" ht="12.75" hidden="false" customHeight="true" outlineLevel="0" collapsed="false"/>
    <row r="629" customFormat="false" ht="12.75" hidden="false" customHeight="true" outlineLevel="0" collapsed="false"/>
    <row r="630" customFormat="false" ht="12.75" hidden="false" customHeight="true" outlineLevel="0" collapsed="false"/>
    <row r="631" customFormat="false" ht="12.75" hidden="false" customHeight="true" outlineLevel="0" collapsed="false"/>
    <row r="632" customFormat="false" ht="12.75" hidden="false" customHeight="true" outlineLevel="0" collapsed="false"/>
    <row r="633" customFormat="false" ht="12.75" hidden="false" customHeight="true" outlineLevel="0" collapsed="false"/>
    <row r="634" customFormat="false" ht="12.75" hidden="false" customHeight="true" outlineLevel="0" collapsed="false"/>
    <row r="635" customFormat="false" ht="12.75" hidden="false" customHeight="true" outlineLevel="0" collapsed="false"/>
    <row r="636" customFormat="false" ht="12.75" hidden="false" customHeight="true" outlineLevel="0" collapsed="false"/>
    <row r="637" customFormat="false" ht="12.75" hidden="false" customHeight="true" outlineLevel="0" collapsed="false"/>
    <row r="638" customFormat="false" ht="12.75" hidden="false" customHeight="true" outlineLevel="0" collapsed="false"/>
    <row r="639" customFormat="false" ht="12.75" hidden="false" customHeight="true" outlineLevel="0" collapsed="false"/>
    <row r="640" customFormat="false" ht="12.75" hidden="false" customHeight="true" outlineLevel="0" collapsed="false"/>
    <row r="641" customFormat="false" ht="12.75" hidden="false" customHeight="true" outlineLevel="0" collapsed="false"/>
    <row r="642" customFormat="false" ht="12.75" hidden="false" customHeight="true" outlineLevel="0" collapsed="false"/>
    <row r="643" customFormat="false" ht="12.75" hidden="false" customHeight="true" outlineLevel="0" collapsed="false"/>
    <row r="644" customFormat="false" ht="12.75" hidden="false" customHeight="true" outlineLevel="0" collapsed="false"/>
    <row r="645" customFormat="false" ht="12.75" hidden="false" customHeight="true" outlineLevel="0" collapsed="false"/>
    <row r="646" customFormat="false" ht="12.75" hidden="false" customHeight="true" outlineLevel="0" collapsed="false"/>
    <row r="647" customFormat="false" ht="12.75" hidden="false" customHeight="true" outlineLevel="0" collapsed="false"/>
    <row r="648" customFormat="false" ht="12.75" hidden="false" customHeight="true" outlineLevel="0" collapsed="false"/>
    <row r="649" customFormat="false" ht="12.75" hidden="false" customHeight="true" outlineLevel="0" collapsed="false"/>
    <row r="650" customFormat="false" ht="12.75" hidden="false" customHeight="true" outlineLevel="0" collapsed="false"/>
    <row r="651" customFormat="false" ht="12.75" hidden="false" customHeight="true" outlineLevel="0" collapsed="false"/>
    <row r="652" customFormat="false" ht="12.75" hidden="false" customHeight="true" outlineLevel="0" collapsed="false"/>
    <row r="653" customFormat="false" ht="12.75" hidden="false" customHeight="true" outlineLevel="0" collapsed="false"/>
    <row r="654" customFormat="false" ht="12.75" hidden="false" customHeight="true" outlineLevel="0" collapsed="false"/>
    <row r="655" customFormat="false" ht="12.75" hidden="false" customHeight="true" outlineLevel="0" collapsed="false"/>
    <row r="656" customFormat="false" ht="12.75" hidden="false" customHeight="true" outlineLevel="0" collapsed="false"/>
    <row r="657" customFormat="false" ht="12.75" hidden="false" customHeight="true" outlineLevel="0" collapsed="false"/>
    <row r="658" customFormat="false" ht="12.75" hidden="false" customHeight="true" outlineLevel="0" collapsed="false"/>
    <row r="659" customFormat="false" ht="12.75" hidden="false" customHeight="true" outlineLevel="0" collapsed="false"/>
    <row r="660" customFormat="false" ht="12.75" hidden="false" customHeight="true" outlineLevel="0" collapsed="false"/>
    <row r="661" customFormat="false" ht="12.75" hidden="false" customHeight="true" outlineLevel="0" collapsed="false"/>
    <row r="662" customFormat="false" ht="12.75" hidden="false" customHeight="true" outlineLevel="0" collapsed="false"/>
    <row r="663" customFormat="false" ht="12.75" hidden="false" customHeight="true" outlineLevel="0" collapsed="false"/>
    <row r="664" customFormat="false" ht="12.75" hidden="false" customHeight="true" outlineLevel="0" collapsed="false"/>
    <row r="665" customFormat="false" ht="12.75" hidden="false" customHeight="true" outlineLevel="0" collapsed="false"/>
    <row r="666" customFormat="false" ht="12.75" hidden="false" customHeight="true" outlineLevel="0" collapsed="false"/>
    <row r="667" customFormat="false" ht="12.75" hidden="false" customHeight="true" outlineLevel="0" collapsed="false"/>
    <row r="668" customFormat="false" ht="12.75" hidden="false" customHeight="true" outlineLevel="0" collapsed="false"/>
    <row r="669" customFormat="false" ht="12.75" hidden="false" customHeight="true" outlineLevel="0" collapsed="false"/>
    <row r="670" customFormat="false" ht="12.75" hidden="false" customHeight="true" outlineLevel="0" collapsed="false"/>
    <row r="671" customFormat="false" ht="12.75" hidden="false" customHeight="true" outlineLevel="0" collapsed="false"/>
    <row r="672" customFormat="false" ht="12.75" hidden="false" customHeight="true" outlineLevel="0" collapsed="false"/>
    <row r="673" customFormat="false" ht="12.75" hidden="false" customHeight="true" outlineLevel="0" collapsed="false"/>
    <row r="674" customFormat="false" ht="12.75" hidden="false" customHeight="true" outlineLevel="0" collapsed="false"/>
    <row r="675" customFormat="false" ht="12.75" hidden="false" customHeight="true" outlineLevel="0" collapsed="false"/>
    <row r="676" customFormat="false" ht="12.75" hidden="false" customHeight="true" outlineLevel="0" collapsed="false"/>
    <row r="677" customFormat="false" ht="12.75" hidden="false" customHeight="true" outlineLevel="0" collapsed="false"/>
    <row r="678" customFormat="false" ht="12.75" hidden="false" customHeight="true" outlineLevel="0" collapsed="false"/>
    <row r="679" customFormat="false" ht="12.75" hidden="false" customHeight="true" outlineLevel="0" collapsed="false"/>
    <row r="680" customFormat="false" ht="12.75" hidden="false" customHeight="true" outlineLevel="0" collapsed="false"/>
    <row r="681" customFormat="false" ht="12.75" hidden="false" customHeight="true" outlineLevel="0" collapsed="false"/>
    <row r="682" customFormat="false" ht="12.75" hidden="false" customHeight="true" outlineLevel="0" collapsed="false"/>
    <row r="683" customFormat="false" ht="12.75" hidden="false" customHeight="true" outlineLevel="0" collapsed="false"/>
    <row r="684" customFormat="false" ht="12.75" hidden="false" customHeight="true" outlineLevel="0" collapsed="false"/>
    <row r="685" customFormat="false" ht="12.75" hidden="false" customHeight="true" outlineLevel="0" collapsed="false"/>
    <row r="686" customFormat="false" ht="12.75" hidden="false" customHeight="true" outlineLevel="0" collapsed="false"/>
    <row r="687" customFormat="false" ht="12.75" hidden="false" customHeight="true" outlineLevel="0" collapsed="false"/>
    <row r="688" customFormat="false" ht="12.75" hidden="false" customHeight="true" outlineLevel="0" collapsed="false"/>
    <row r="689" customFormat="false" ht="12.75" hidden="false" customHeight="true" outlineLevel="0" collapsed="false"/>
    <row r="690" customFormat="false" ht="12.75" hidden="false" customHeight="true" outlineLevel="0" collapsed="false"/>
    <row r="691" customFormat="false" ht="12.75" hidden="false" customHeight="true" outlineLevel="0" collapsed="false"/>
    <row r="692" customFormat="false" ht="12.75" hidden="false" customHeight="true" outlineLevel="0" collapsed="false"/>
    <row r="693" customFormat="false" ht="12.75" hidden="false" customHeight="true" outlineLevel="0" collapsed="false"/>
    <row r="694" customFormat="false" ht="12.75" hidden="false" customHeight="true" outlineLevel="0" collapsed="false"/>
    <row r="695" customFormat="false" ht="12.75" hidden="false" customHeight="true" outlineLevel="0" collapsed="false"/>
    <row r="696" customFormat="false" ht="12.75" hidden="false" customHeight="true" outlineLevel="0" collapsed="false"/>
    <row r="697" customFormat="false" ht="12.75" hidden="false" customHeight="true" outlineLevel="0" collapsed="false"/>
    <row r="698" customFormat="false" ht="12.75" hidden="false" customHeight="true" outlineLevel="0" collapsed="false"/>
    <row r="699" customFormat="false" ht="12.75" hidden="false" customHeight="true" outlineLevel="0" collapsed="false"/>
    <row r="700" customFormat="false" ht="12.75" hidden="false" customHeight="true" outlineLevel="0" collapsed="false"/>
    <row r="701" customFormat="false" ht="12.75" hidden="false" customHeight="true" outlineLevel="0" collapsed="false"/>
    <row r="702" customFormat="false" ht="12.75" hidden="false" customHeight="true" outlineLevel="0" collapsed="false"/>
    <row r="703" customFormat="false" ht="12.75" hidden="false" customHeight="true" outlineLevel="0" collapsed="false"/>
    <row r="704" customFormat="false" ht="12.75" hidden="false" customHeight="true" outlineLevel="0" collapsed="false"/>
    <row r="705" customFormat="false" ht="12.75" hidden="false" customHeight="true" outlineLevel="0" collapsed="false"/>
    <row r="706" customFormat="false" ht="12.75" hidden="false" customHeight="true" outlineLevel="0" collapsed="false"/>
    <row r="707" customFormat="false" ht="12.75" hidden="false" customHeight="true" outlineLevel="0" collapsed="false"/>
    <row r="708" customFormat="false" ht="12.75" hidden="false" customHeight="true" outlineLevel="0" collapsed="false"/>
    <row r="709" customFormat="false" ht="12.75" hidden="false" customHeight="true" outlineLevel="0" collapsed="false"/>
    <row r="710" customFormat="false" ht="12.75" hidden="false" customHeight="true" outlineLevel="0" collapsed="false"/>
    <row r="711" customFormat="false" ht="12.75" hidden="false" customHeight="true" outlineLevel="0" collapsed="false"/>
    <row r="712" customFormat="false" ht="12.75" hidden="false" customHeight="true" outlineLevel="0" collapsed="false"/>
    <row r="713" customFormat="false" ht="12.75" hidden="false" customHeight="true" outlineLevel="0" collapsed="false"/>
    <row r="714" customFormat="false" ht="12.75" hidden="false" customHeight="true" outlineLevel="0" collapsed="false"/>
    <row r="715" customFormat="false" ht="12.75" hidden="false" customHeight="true" outlineLevel="0" collapsed="false"/>
    <row r="716" customFormat="false" ht="12.75" hidden="false" customHeight="true" outlineLevel="0" collapsed="false"/>
    <row r="717" customFormat="false" ht="12.75" hidden="false" customHeight="true" outlineLevel="0" collapsed="false"/>
    <row r="718" customFormat="false" ht="12.75" hidden="false" customHeight="true" outlineLevel="0" collapsed="false"/>
    <row r="719" customFormat="false" ht="12.75" hidden="false" customHeight="true" outlineLevel="0" collapsed="false"/>
    <row r="720" customFormat="false" ht="12.75" hidden="false" customHeight="true" outlineLevel="0" collapsed="false"/>
    <row r="721" customFormat="false" ht="12.75" hidden="false" customHeight="true" outlineLevel="0" collapsed="false"/>
    <row r="722" customFormat="false" ht="12.75" hidden="false" customHeight="true" outlineLevel="0" collapsed="false"/>
    <row r="723" customFormat="false" ht="12.75" hidden="false" customHeight="true" outlineLevel="0" collapsed="false"/>
    <row r="724" customFormat="false" ht="12.75" hidden="false" customHeight="true" outlineLevel="0" collapsed="false"/>
    <row r="725" customFormat="false" ht="12.75" hidden="false" customHeight="true" outlineLevel="0" collapsed="false"/>
    <row r="726" customFormat="false" ht="12.75" hidden="false" customHeight="true" outlineLevel="0" collapsed="false"/>
    <row r="727" customFormat="false" ht="12.75" hidden="false" customHeight="true" outlineLevel="0" collapsed="false"/>
    <row r="728" customFormat="false" ht="12.75" hidden="false" customHeight="true" outlineLevel="0" collapsed="false"/>
    <row r="729" customFormat="false" ht="12.75" hidden="false" customHeight="true" outlineLevel="0" collapsed="false"/>
    <row r="730" customFormat="false" ht="12.75" hidden="false" customHeight="true" outlineLevel="0" collapsed="false"/>
    <row r="731" customFormat="false" ht="12.75" hidden="false" customHeight="true" outlineLevel="0" collapsed="false"/>
    <row r="732" customFormat="false" ht="12.75" hidden="false" customHeight="true" outlineLevel="0" collapsed="false"/>
    <row r="733" customFormat="false" ht="12.75" hidden="false" customHeight="true" outlineLevel="0" collapsed="false"/>
    <row r="734" customFormat="false" ht="12.75" hidden="false" customHeight="true" outlineLevel="0" collapsed="false"/>
    <row r="735" customFormat="false" ht="12.75" hidden="false" customHeight="true" outlineLevel="0" collapsed="false"/>
    <row r="736" customFormat="false" ht="12.75" hidden="false" customHeight="true" outlineLevel="0" collapsed="false"/>
    <row r="737" customFormat="false" ht="12.75" hidden="false" customHeight="true" outlineLevel="0" collapsed="false"/>
    <row r="738" customFormat="false" ht="12.75" hidden="false" customHeight="true" outlineLevel="0" collapsed="false"/>
    <row r="739" customFormat="false" ht="12.75" hidden="false" customHeight="true" outlineLevel="0" collapsed="false"/>
    <row r="740" customFormat="false" ht="12.75" hidden="false" customHeight="true" outlineLevel="0" collapsed="false"/>
    <row r="741" customFormat="false" ht="12.75" hidden="false" customHeight="true" outlineLevel="0" collapsed="false"/>
    <row r="742" customFormat="false" ht="12.75" hidden="false" customHeight="true" outlineLevel="0" collapsed="false"/>
    <row r="743" customFormat="false" ht="12.75" hidden="false" customHeight="true" outlineLevel="0" collapsed="false"/>
    <row r="744" customFormat="false" ht="12.75" hidden="false" customHeight="true" outlineLevel="0" collapsed="false"/>
    <row r="745" customFormat="false" ht="12.75" hidden="false" customHeight="true" outlineLevel="0" collapsed="false"/>
    <row r="746" customFormat="false" ht="12.75" hidden="false" customHeight="true" outlineLevel="0" collapsed="false"/>
    <row r="747" customFormat="false" ht="12.75" hidden="false" customHeight="true" outlineLevel="0" collapsed="false"/>
    <row r="748" customFormat="false" ht="12.75" hidden="false" customHeight="true" outlineLevel="0" collapsed="false"/>
    <row r="749" customFormat="false" ht="12.75" hidden="false" customHeight="true" outlineLevel="0" collapsed="false"/>
    <row r="750" customFormat="false" ht="12.75" hidden="false" customHeight="true" outlineLevel="0" collapsed="false"/>
    <row r="751" customFormat="false" ht="12.75" hidden="false" customHeight="true" outlineLevel="0" collapsed="false"/>
    <row r="752" customFormat="false" ht="12.75" hidden="false" customHeight="true" outlineLevel="0" collapsed="false"/>
    <row r="753" customFormat="false" ht="12.75" hidden="false" customHeight="true" outlineLevel="0" collapsed="false"/>
    <row r="754" customFormat="false" ht="12.75" hidden="false" customHeight="true" outlineLevel="0" collapsed="false"/>
    <row r="755" customFormat="false" ht="12.75" hidden="false" customHeight="true" outlineLevel="0" collapsed="false"/>
    <row r="756" customFormat="false" ht="12.75" hidden="false" customHeight="true" outlineLevel="0" collapsed="false"/>
    <row r="757" customFormat="false" ht="12.75" hidden="false" customHeight="true" outlineLevel="0" collapsed="false"/>
    <row r="758" customFormat="false" ht="12.75" hidden="false" customHeight="true" outlineLevel="0" collapsed="false"/>
    <row r="759" customFormat="false" ht="12.75" hidden="false" customHeight="true" outlineLevel="0" collapsed="false"/>
    <row r="760" customFormat="false" ht="12.75" hidden="false" customHeight="true" outlineLevel="0" collapsed="false"/>
    <row r="761" customFormat="false" ht="12.75" hidden="false" customHeight="true" outlineLevel="0" collapsed="false"/>
    <row r="762" customFormat="false" ht="12.75" hidden="false" customHeight="true" outlineLevel="0" collapsed="false"/>
    <row r="763" customFormat="false" ht="12.75" hidden="false" customHeight="true" outlineLevel="0" collapsed="false"/>
    <row r="764" customFormat="false" ht="12.75" hidden="false" customHeight="true" outlineLevel="0" collapsed="false"/>
    <row r="765" customFormat="false" ht="12.75" hidden="false" customHeight="true" outlineLevel="0" collapsed="false"/>
    <row r="766" customFormat="false" ht="12.75" hidden="false" customHeight="true" outlineLevel="0" collapsed="false"/>
    <row r="767" customFormat="false" ht="12.75" hidden="false" customHeight="true" outlineLevel="0" collapsed="false"/>
    <row r="768" customFormat="false" ht="12.75" hidden="false" customHeight="true" outlineLevel="0" collapsed="false"/>
    <row r="769" customFormat="false" ht="12.75" hidden="false" customHeight="true" outlineLevel="0" collapsed="false"/>
    <row r="770" customFormat="false" ht="12.75" hidden="false" customHeight="true" outlineLevel="0" collapsed="false"/>
    <row r="771" customFormat="false" ht="12.75" hidden="false" customHeight="true" outlineLevel="0" collapsed="false"/>
    <row r="772" customFormat="false" ht="12.75" hidden="false" customHeight="true" outlineLevel="0" collapsed="false"/>
    <row r="773" customFormat="false" ht="12.75" hidden="false" customHeight="true" outlineLevel="0" collapsed="false"/>
    <row r="774" customFormat="false" ht="12.75" hidden="false" customHeight="true" outlineLevel="0" collapsed="false"/>
    <row r="775" customFormat="false" ht="12.75" hidden="false" customHeight="true" outlineLevel="0" collapsed="false"/>
    <row r="776" customFormat="false" ht="12.75" hidden="false" customHeight="true" outlineLevel="0" collapsed="false"/>
    <row r="777" customFormat="false" ht="12.75" hidden="false" customHeight="true" outlineLevel="0" collapsed="false"/>
    <row r="778" customFormat="false" ht="12.75" hidden="false" customHeight="true" outlineLevel="0" collapsed="false"/>
    <row r="779" customFormat="false" ht="12.75" hidden="false" customHeight="true" outlineLevel="0" collapsed="false"/>
    <row r="780" customFormat="false" ht="12.75" hidden="false" customHeight="true" outlineLevel="0" collapsed="false"/>
    <row r="781" customFormat="false" ht="12.75" hidden="false" customHeight="true" outlineLevel="0" collapsed="false"/>
    <row r="782" customFormat="false" ht="12.75" hidden="false" customHeight="true" outlineLevel="0" collapsed="false"/>
    <row r="783" customFormat="false" ht="12.75" hidden="false" customHeight="true" outlineLevel="0" collapsed="false"/>
    <row r="784" customFormat="false" ht="12.75" hidden="false" customHeight="true" outlineLevel="0" collapsed="false"/>
    <row r="785" customFormat="false" ht="12.75" hidden="false" customHeight="true" outlineLevel="0" collapsed="false"/>
    <row r="786" customFormat="false" ht="12.75" hidden="false" customHeight="true" outlineLevel="0" collapsed="false"/>
    <row r="787" customFormat="false" ht="12.75" hidden="false" customHeight="true" outlineLevel="0" collapsed="false"/>
    <row r="788" customFormat="false" ht="12.75" hidden="false" customHeight="true" outlineLevel="0" collapsed="false"/>
    <row r="789" customFormat="false" ht="12.75" hidden="false" customHeight="true" outlineLevel="0" collapsed="false"/>
    <row r="790" customFormat="false" ht="12.75" hidden="false" customHeight="true" outlineLevel="0" collapsed="false"/>
    <row r="791" customFormat="false" ht="12.75" hidden="false" customHeight="true" outlineLevel="0" collapsed="false"/>
    <row r="792" customFormat="false" ht="12.75" hidden="false" customHeight="true" outlineLevel="0" collapsed="false"/>
    <row r="793" customFormat="false" ht="12.75" hidden="false" customHeight="true" outlineLevel="0" collapsed="false"/>
    <row r="794" customFormat="false" ht="12.75" hidden="false" customHeight="true" outlineLevel="0" collapsed="false"/>
    <row r="795" customFormat="false" ht="12.75" hidden="false" customHeight="true" outlineLevel="0" collapsed="false"/>
    <row r="796" customFormat="false" ht="12.75" hidden="false" customHeight="true" outlineLevel="0" collapsed="false"/>
    <row r="797" customFormat="false" ht="12.75" hidden="false" customHeight="true" outlineLevel="0" collapsed="false"/>
    <row r="798" customFormat="false" ht="12.75" hidden="false" customHeight="true" outlineLevel="0" collapsed="false"/>
    <row r="799" customFormat="false" ht="12.75" hidden="false" customHeight="true" outlineLevel="0" collapsed="false"/>
    <row r="800" customFormat="false" ht="12.75" hidden="false" customHeight="true" outlineLevel="0" collapsed="false"/>
    <row r="801" customFormat="false" ht="12.75" hidden="false" customHeight="true" outlineLevel="0" collapsed="false"/>
    <row r="802" customFormat="false" ht="12.75" hidden="false" customHeight="true" outlineLevel="0" collapsed="false"/>
    <row r="803" customFormat="false" ht="12.75" hidden="false" customHeight="true" outlineLevel="0" collapsed="false"/>
    <row r="804" customFormat="false" ht="12.75" hidden="false" customHeight="true" outlineLevel="0" collapsed="false"/>
    <row r="805" customFormat="false" ht="12.75" hidden="false" customHeight="true" outlineLevel="0" collapsed="false"/>
    <row r="806" customFormat="false" ht="12.75" hidden="false" customHeight="true" outlineLevel="0" collapsed="false"/>
    <row r="807" customFormat="false" ht="12.75" hidden="false" customHeight="true" outlineLevel="0" collapsed="false"/>
    <row r="808" customFormat="false" ht="12.75" hidden="false" customHeight="true" outlineLevel="0" collapsed="false"/>
    <row r="809" customFormat="false" ht="12.75" hidden="false" customHeight="true" outlineLevel="0" collapsed="false"/>
    <row r="810" customFormat="false" ht="12.75" hidden="false" customHeight="true" outlineLevel="0" collapsed="false"/>
    <row r="811" customFormat="false" ht="12.75" hidden="false" customHeight="true" outlineLevel="0" collapsed="false"/>
    <row r="812" customFormat="false" ht="12.75" hidden="false" customHeight="true" outlineLevel="0" collapsed="false"/>
    <row r="813" customFormat="false" ht="12.75" hidden="false" customHeight="true" outlineLevel="0" collapsed="false"/>
    <row r="814" customFormat="false" ht="12.75" hidden="false" customHeight="true" outlineLevel="0" collapsed="false"/>
    <row r="815" customFormat="false" ht="12.75" hidden="false" customHeight="true" outlineLevel="0" collapsed="false"/>
    <row r="816" customFormat="false" ht="12.75" hidden="false" customHeight="true" outlineLevel="0" collapsed="false"/>
    <row r="817" customFormat="false" ht="12.75" hidden="false" customHeight="true" outlineLevel="0" collapsed="false"/>
    <row r="818" customFormat="false" ht="12.75" hidden="false" customHeight="true" outlineLevel="0" collapsed="false"/>
    <row r="819" customFormat="false" ht="12.75" hidden="false" customHeight="true" outlineLevel="0" collapsed="false"/>
    <row r="820" customFormat="false" ht="12.75" hidden="false" customHeight="true" outlineLevel="0" collapsed="false"/>
    <row r="821" customFormat="false" ht="12.75" hidden="false" customHeight="true" outlineLevel="0" collapsed="false"/>
    <row r="822" customFormat="false" ht="12.75" hidden="false" customHeight="true" outlineLevel="0" collapsed="false"/>
    <row r="823" customFormat="false" ht="12.75" hidden="false" customHeight="true" outlineLevel="0" collapsed="false"/>
    <row r="824" customFormat="false" ht="12.75" hidden="false" customHeight="true" outlineLevel="0" collapsed="false"/>
    <row r="825" customFormat="false" ht="12.75" hidden="false" customHeight="true" outlineLevel="0" collapsed="false"/>
    <row r="826" customFormat="false" ht="12.75" hidden="false" customHeight="true" outlineLevel="0" collapsed="false"/>
    <row r="827" customFormat="false" ht="12.75" hidden="false" customHeight="true" outlineLevel="0" collapsed="false"/>
    <row r="828" customFormat="false" ht="12.75" hidden="false" customHeight="true" outlineLevel="0" collapsed="false"/>
    <row r="829" customFormat="false" ht="12.75" hidden="false" customHeight="true" outlineLevel="0" collapsed="false"/>
    <row r="830" customFormat="false" ht="12.75" hidden="false" customHeight="true" outlineLevel="0" collapsed="false"/>
    <row r="831" customFormat="false" ht="12.75" hidden="false" customHeight="true" outlineLevel="0" collapsed="false"/>
    <row r="832" customFormat="false" ht="12.75" hidden="false" customHeight="true" outlineLevel="0" collapsed="false"/>
    <row r="833" customFormat="false" ht="12.75" hidden="false" customHeight="true" outlineLevel="0" collapsed="false"/>
    <row r="834" customFormat="false" ht="12.75" hidden="false" customHeight="true" outlineLevel="0" collapsed="false"/>
    <row r="835" customFormat="false" ht="12.75" hidden="false" customHeight="true" outlineLevel="0" collapsed="false"/>
    <row r="836" customFormat="false" ht="12.75" hidden="false" customHeight="true" outlineLevel="0" collapsed="false"/>
    <row r="837" customFormat="false" ht="12.75" hidden="false" customHeight="true" outlineLevel="0" collapsed="false"/>
    <row r="838" customFormat="false" ht="12.75" hidden="false" customHeight="true" outlineLevel="0" collapsed="false"/>
    <row r="839" customFormat="false" ht="12.75" hidden="false" customHeight="true" outlineLevel="0" collapsed="false"/>
    <row r="840" customFormat="false" ht="12.75" hidden="false" customHeight="true" outlineLevel="0" collapsed="false"/>
    <row r="841" customFormat="false" ht="12.75" hidden="false" customHeight="true" outlineLevel="0" collapsed="false"/>
    <row r="842" customFormat="false" ht="12.75" hidden="false" customHeight="true" outlineLevel="0" collapsed="false"/>
    <row r="843" customFormat="false" ht="12.75" hidden="false" customHeight="true" outlineLevel="0" collapsed="false"/>
    <row r="844" customFormat="false" ht="12.75" hidden="false" customHeight="true" outlineLevel="0" collapsed="false"/>
    <row r="845" customFormat="false" ht="12.75" hidden="false" customHeight="true" outlineLevel="0" collapsed="false"/>
    <row r="846" customFormat="false" ht="12.75" hidden="false" customHeight="true" outlineLevel="0" collapsed="false"/>
    <row r="847" customFormat="false" ht="12.75" hidden="false" customHeight="true" outlineLevel="0" collapsed="false"/>
    <row r="848" customFormat="false" ht="12.75" hidden="false" customHeight="true" outlineLevel="0" collapsed="false"/>
    <row r="849" customFormat="false" ht="12.75" hidden="false" customHeight="true" outlineLevel="0" collapsed="false"/>
    <row r="850" customFormat="false" ht="12.75" hidden="false" customHeight="true" outlineLevel="0" collapsed="false"/>
    <row r="851" customFormat="false" ht="12.75" hidden="false" customHeight="true" outlineLevel="0" collapsed="false"/>
    <row r="852" customFormat="false" ht="12.75" hidden="false" customHeight="true" outlineLevel="0" collapsed="false"/>
    <row r="853" customFormat="false" ht="12.75" hidden="false" customHeight="true" outlineLevel="0" collapsed="false"/>
    <row r="854" customFormat="false" ht="12.75" hidden="false" customHeight="true" outlineLevel="0" collapsed="false"/>
    <row r="855" customFormat="false" ht="12.75" hidden="false" customHeight="true" outlineLevel="0" collapsed="false"/>
    <row r="856" customFormat="false" ht="12.75" hidden="false" customHeight="true" outlineLevel="0" collapsed="false"/>
    <row r="857" customFormat="false" ht="12.75" hidden="false" customHeight="true" outlineLevel="0" collapsed="false"/>
    <row r="858" customFormat="false" ht="12.75" hidden="false" customHeight="true" outlineLevel="0" collapsed="false"/>
    <row r="859" customFormat="false" ht="12.75" hidden="false" customHeight="true" outlineLevel="0" collapsed="false"/>
    <row r="860" customFormat="false" ht="12.75" hidden="false" customHeight="true" outlineLevel="0" collapsed="false"/>
    <row r="861" customFormat="false" ht="12.75" hidden="false" customHeight="true" outlineLevel="0" collapsed="false"/>
    <row r="862" customFormat="false" ht="12.75" hidden="false" customHeight="true" outlineLevel="0" collapsed="false"/>
    <row r="863" customFormat="false" ht="12.75" hidden="false" customHeight="true" outlineLevel="0" collapsed="false"/>
    <row r="864" customFormat="false" ht="12.75" hidden="false" customHeight="true" outlineLevel="0" collapsed="false"/>
    <row r="865" customFormat="false" ht="12.75" hidden="false" customHeight="true" outlineLevel="0" collapsed="false"/>
    <row r="866" customFormat="false" ht="12.75" hidden="false" customHeight="true" outlineLevel="0" collapsed="false"/>
    <row r="867" customFormat="false" ht="12.75" hidden="false" customHeight="true" outlineLevel="0" collapsed="false"/>
    <row r="868" customFormat="false" ht="12.75" hidden="false" customHeight="true" outlineLevel="0" collapsed="false"/>
    <row r="869" customFormat="false" ht="12.75" hidden="false" customHeight="true" outlineLevel="0" collapsed="false"/>
    <row r="870" customFormat="false" ht="12.75" hidden="false" customHeight="true" outlineLevel="0" collapsed="false"/>
    <row r="871" customFormat="false" ht="12.75" hidden="false" customHeight="true" outlineLevel="0" collapsed="false"/>
    <row r="872" customFormat="false" ht="12.75" hidden="false" customHeight="true" outlineLevel="0" collapsed="false"/>
    <row r="873" customFormat="false" ht="12.75" hidden="false" customHeight="true" outlineLevel="0" collapsed="false"/>
    <row r="874" customFormat="false" ht="12.75" hidden="false" customHeight="true" outlineLevel="0" collapsed="false"/>
    <row r="875" customFormat="false" ht="12.75" hidden="false" customHeight="true" outlineLevel="0" collapsed="false"/>
    <row r="876" customFormat="false" ht="12.75" hidden="false" customHeight="true" outlineLevel="0" collapsed="false"/>
    <row r="877" customFormat="false" ht="12.75" hidden="false" customHeight="true" outlineLevel="0" collapsed="false"/>
    <row r="878" customFormat="false" ht="12.75" hidden="false" customHeight="true" outlineLevel="0" collapsed="false"/>
    <row r="879" customFormat="false" ht="12.75" hidden="false" customHeight="true" outlineLevel="0" collapsed="false"/>
    <row r="880" customFormat="false" ht="12.75" hidden="false" customHeight="true" outlineLevel="0" collapsed="false"/>
    <row r="881" customFormat="false" ht="12.75" hidden="false" customHeight="true" outlineLevel="0" collapsed="false"/>
    <row r="882" customFormat="false" ht="12.75" hidden="false" customHeight="true" outlineLevel="0" collapsed="false"/>
    <row r="883" customFormat="false" ht="12.75" hidden="false" customHeight="true" outlineLevel="0" collapsed="false"/>
    <row r="884" customFormat="false" ht="12.75" hidden="false" customHeight="true" outlineLevel="0" collapsed="false"/>
    <row r="885" customFormat="false" ht="12.75" hidden="false" customHeight="true" outlineLevel="0" collapsed="false"/>
    <row r="886" customFormat="false" ht="12.75" hidden="false" customHeight="true" outlineLevel="0" collapsed="false"/>
    <row r="887" customFormat="false" ht="12.75" hidden="false" customHeight="true" outlineLevel="0" collapsed="false"/>
    <row r="888" customFormat="false" ht="12.75" hidden="false" customHeight="true" outlineLevel="0" collapsed="false"/>
    <row r="889" customFormat="false" ht="12.75" hidden="false" customHeight="true" outlineLevel="0" collapsed="false"/>
    <row r="890" customFormat="false" ht="12.75" hidden="false" customHeight="true" outlineLevel="0" collapsed="false"/>
    <row r="891" customFormat="false" ht="12.75" hidden="false" customHeight="true" outlineLevel="0" collapsed="false"/>
    <row r="892" customFormat="false" ht="12.75" hidden="false" customHeight="true" outlineLevel="0" collapsed="false"/>
    <row r="893" customFormat="false" ht="12.75" hidden="false" customHeight="true" outlineLevel="0" collapsed="false"/>
    <row r="894" customFormat="false" ht="12.75" hidden="false" customHeight="true" outlineLevel="0" collapsed="false"/>
    <row r="895" customFormat="false" ht="12.75" hidden="false" customHeight="true" outlineLevel="0" collapsed="false"/>
    <row r="896" customFormat="false" ht="12.75" hidden="false" customHeight="true" outlineLevel="0" collapsed="false"/>
    <row r="897" customFormat="false" ht="12.75" hidden="false" customHeight="true" outlineLevel="0" collapsed="false"/>
    <row r="898" customFormat="false" ht="12.75" hidden="false" customHeight="true" outlineLevel="0" collapsed="false"/>
    <row r="899" customFormat="false" ht="12.75" hidden="false" customHeight="true" outlineLevel="0" collapsed="false"/>
    <row r="900" customFormat="false" ht="12.75" hidden="false" customHeight="true" outlineLevel="0" collapsed="false"/>
    <row r="901" customFormat="false" ht="12.75" hidden="false" customHeight="true" outlineLevel="0" collapsed="false"/>
    <row r="902" customFormat="false" ht="12.75" hidden="false" customHeight="true" outlineLevel="0" collapsed="false"/>
    <row r="903" customFormat="false" ht="12.75" hidden="false" customHeight="true" outlineLevel="0" collapsed="false"/>
    <row r="904" customFormat="false" ht="12.75" hidden="false" customHeight="true" outlineLevel="0" collapsed="false"/>
    <row r="905" customFormat="false" ht="12.75" hidden="false" customHeight="true" outlineLevel="0" collapsed="false"/>
    <row r="906" customFormat="false" ht="12.75" hidden="false" customHeight="true" outlineLevel="0" collapsed="false"/>
    <row r="907" customFormat="false" ht="12.75" hidden="false" customHeight="true" outlineLevel="0" collapsed="false"/>
    <row r="908" customFormat="false" ht="12.75" hidden="false" customHeight="true" outlineLevel="0" collapsed="false"/>
    <row r="909" customFormat="false" ht="12.75" hidden="false" customHeight="true" outlineLevel="0" collapsed="false"/>
    <row r="910" customFormat="false" ht="12.75" hidden="false" customHeight="true" outlineLevel="0" collapsed="false"/>
    <row r="911" customFormat="false" ht="12.75" hidden="false" customHeight="true" outlineLevel="0" collapsed="false"/>
    <row r="912" customFormat="false" ht="12.75" hidden="false" customHeight="true" outlineLevel="0" collapsed="false"/>
    <row r="913" customFormat="false" ht="12.75" hidden="false" customHeight="true" outlineLevel="0" collapsed="false"/>
    <row r="914" customFormat="false" ht="12.75" hidden="false" customHeight="true" outlineLevel="0" collapsed="false"/>
    <row r="915" customFormat="false" ht="12.75" hidden="false" customHeight="true" outlineLevel="0" collapsed="false"/>
    <row r="916" customFormat="false" ht="12.75" hidden="false" customHeight="true" outlineLevel="0" collapsed="false"/>
    <row r="917" customFormat="false" ht="12.75" hidden="false" customHeight="true" outlineLevel="0" collapsed="false"/>
    <row r="918" customFormat="false" ht="12.75" hidden="false" customHeight="true" outlineLevel="0" collapsed="false"/>
    <row r="919" customFormat="false" ht="12.75" hidden="false" customHeight="true" outlineLevel="0" collapsed="false"/>
    <row r="920" customFormat="false" ht="12.75" hidden="false" customHeight="true" outlineLevel="0" collapsed="false"/>
    <row r="921" customFormat="false" ht="12.75" hidden="false" customHeight="true" outlineLevel="0" collapsed="false"/>
    <row r="922" customFormat="false" ht="12.75" hidden="false" customHeight="true" outlineLevel="0" collapsed="false"/>
    <row r="923" customFormat="false" ht="12.75" hidden="false" customHeight="true" outlineLevel="0" collapsed="false"/>
    <row r="924" customFormat="false" ht="12.75" hidden="false" customHeight="true" outlineLevel="0" collapsed="false"/>
    <row r="925" customFormat="false" ht="12.75" hidden="false" customHeight="true" outlineLevel="0" collapsed="false"/>
    <row r="926" customFormat="false" ht="12.75" hidden="false" customHeight="true" outlineLevel="0" collapsed="false"/>
    <row r="927" customFormat="false" ht="12.75" hidden="false" customHeight="true" outlineLevel="0" collapsed="false"/>
    <row r="928" customFormat="false" ht="12.75" hidden="false" customHeight="true" outlineLevel="0" collapsed="false"/>
    <row r="929" customFormat="false" ht="12.75" hidden="false" customHeight="true" outlineLevel="0" collapsed="false"/>
    <row r="930" customFormat="false" ht="12.75" hidden="false" customHeight="true" outlineLevel="0" collapsed="false"/>
    <row r="931" customFormat="false" ht="12.75" hidden="false" customHeight="true" outlineLevel="0" collapsed="false"/>
    <row r="932" customFormat="false" ht="12.75" hidden="false" customHeight="true" outlineLevel="0" collapsed="false"/>
    <row r="933" customFormat="false" ht="12.75" hidden="false" customHeight="true" outlineLevel="0" collapsed="false"/>
    <row r="934" customFormat="false" ht="12.75" hidden="false" customHeight="true" outlineLevel="0" collapsed="false"/>
    <row r="935" customFormat="false" ht="12.75" hidden="false" customHeight="true" outlineLevel="0" collapsed="false"/>
    <row r="936" customFormat="false" ht="12.75" hidden="false" customHeight="true" outlineLevel="0" collapsed="false"/>
    <row r="937" customFormat="false" ht="12.75" hidden="false" customHeight="true" outlineLevel="0" collapsed="false"/>
    <row r="938" customFormat="false" ht="12.75" hidden="false" customHeight="true" outlineLevel="0" collapsed="false"/>
    <row r="939" customFormat="false" ht="12.75" hidden="false" customHeight="true" outlineLevel="0" collapsed="false"/>
    <row r="940" customFormat="false" ht="12.75" hidden="false" customHeight="true" outlineLevel="0" collapsed="false"/>
    <row r="941" customFormat="false" ht="12.75" hidden="false" customHeight="true" outlineLevel="0" collapsed="false"/>
    <row r="942" customFormat="false" ht="12.75" hidden="false" customHeight="true" outlineLevel="0" collapsed="false"/>
    <row r="943" customFormat="false" ht="12.75" hidden="false" customHeight="true" outlineLevel="0" collapsed="false"/>
    <row r="944" customFormat="false" ht="12.75" hidden="false" customHeight="true" outlineLevel="0" collapsed="false"/>
    <row r="945" customFormat="false" ht="12.75" hidden="false" customHeight="true" outlineLevel="0" collapsed="false"/>
    <row r="946" customFormat="false" ht="12.75" hidden="false" customHeight="true" outlineLevel="0" collapsed="false"/>
    <row r="947" customFormat="false" ht="12.75" hidden="false" customHeight="true" outlineLevel="0" collapsed="false"/>
    <row r="948" customFormat="false" ht="12.75" hidden="false" customHeight="true" outlineLevel="0" collapsed="false"/>
    <row r="949" customFormat="false" ht="12.75" hidden="false" customHeight="true" outlineLevel="0" collapsed="false"/>
    <row r="950" customFormat="false" ht="12.75" hidden="false" customHeight="true" outlineLevel="0" collapsed="false"/>
    <row r="951" customFormat="false" ht="12.75" hidden="false" customHeight="true" outlineLevel="0" collapsed="false"/>
    <row r="952" customFormat="false" ht="12.75" hidden="false" customHeight="true" outlineLevel="0" collapsed="false"/>
    <row r="953" customFormat="false" ht="12.75" hidden="false" customHeight="true" outlineLevel="0" collapsed="false"/>
    <row r="954" customFormat="false" ht="12.75" hidden="false" customHeight="true" outlineLevel="0" collapsed="false"/>
    <row r="955" customFormat="false" ht="12.75" hidden="false" customHeight="true" outlineLevel="0" collapsed="false"/>
    <row r="956" customFormat="false" ht="12.75" hidden="false" customHeight="true" outlineLevel="0" collapsed="false"/>
    <row r="957" customFormat="false" ht="12.75" hidden="false" customHeight="true" outlineLevel="0" collapsed="false"/>
    <row r="958" customFormat="false" ht="12.75" hidden="false" customHeight="true" outlineLevel="0" collapsed="false"/>
    <row r="959" customFormat="false" ht="12.75" hidden="false" customHeight="true" outlineLevel="0" collapsed="false"/>
    <row r="960" customFormat="false" ht="12.75" hidden="false" customHeight="true" outlineLevel="0" collapsed="false"/>
    <row r="961" customFormat="false" ht="12.75" hidden="false" customHeight="true" outlineLevel="0" collapsed="false"/>
    <row r="962" customFormat="false" ht="12.75" hidden="false" customHeight="true" outlineLevel="0" collapsed="false"/>
    <row r="963" customFormat="false" ht="12.75" hidden="false" customHeight="true" outlineLevel="0" collapsed="false"/>
    <row r="964" customFormat="false" ht="12.75" hidden="false" customHeight="true" outlineLevel="0" collapsed="false"/>
    <row r="965" customFormat="false" ht="12.75" hidden="false" customHeight="true" outlineLevel="0" collapsed="false"/>
    <row r="966" customFormat="false" ht="12.75" hidden="false" customHeight="true" outlineLevel="0" collapsed="false"/>
    <row r="967" customFormat="false" ht="12.75" hidden="false" customHeight="true" outlineLevel="0" collapsed="false"/>
    <row r="968" customFormat="false" ht="12.75" hidden="false" customHeight="true" outlineLevel="0" collapsed="false"/>
    <row r="969" customFormat="false" ht="12.75" hidden="false" customHeight="true" outlineLevel="0" collapsed="false"/>
    <row r="970" customFormat="false" ht="12.75" hidden="false" customHeight="true" outlineLevel="0" collapsed="false"/>
    <row r="971" customFormat="false" ht="12.75" hidden="false" customHeight="true" outlineLevel="0" collapsed="false"/>
    <row r="972" customFormat="false" ht="12.75" hidden="false" customHeight="true" outlineLevel="0" collapsed="false"/>
    <row r="973" customFormat="false" ht="12.75" hidden="false" customHeight="true" outlineLevel="0" collapsed="false"/>
    <row r="974" customFormat="false" ht="12.75" hidden="false" customHeight="true" outlineLevel="0" collapsed="false"/>
    <row r="975" customFormat="false" ht="12.75" hidden="false" customHeight="true" outlineLevel="0" collapsed="false"/>
    <row r="976" customFormat="false" ht="12.75" hidden="false" customHeight="true" outlineLevel="0" collapsed="false"/>
    <row r="977" customFormat="false" ht="12.75" hidden="false" customHeight="true" outlineLevel="0" collapsed="false"/>
    <row r="978" customFormat="false" ht="12.75" hidden="false" customHeight="true" outlineLevel="0" collapsed="false"/>
    <row r="979" customFormat="false" ht="12.75" hidden="false" customHeight="true" outlineLevel="0" collapsed="false"/>
    <row r="980" customFormat="false" ht="12.75" hidden="false" customHeight="true" outlineLevel="0" collapsed="false"/>
    <row r="981" customFormat="false" ht="12.75" hidden="false" customHeight="true" outlineLevel="0" collapsed="false"/>
    <row r="982" customFormat="false" ht="12.75" hidden="false" customHeight="true" outlineLevel="0" collapsed="false"/>
    <row r="983" customFormat="false" ht="12.75" hidden="false" customHeight="true" outlineLevel="0" collapsed="false"/>
    <row r="984" customFormat="false" ht="12.75" hidden="false" customHeight="true" outlineLevel="0" collapsed="false"/>
    <row r="985" customFormat="false" ht="12.75" hidden="false" customHeight="true" outlineLevel="0" collapsed="false"/>
    <row r="986" customFormat="false" ht="12.75" hidden="false" customHeight="true" outlineLevel="0" collapsed="false"/>
    <row r="987" customFormat="false" ht="12.75" hidden="false" customHeight="true" outlineLevel="0" collapsed="false"/>
    <row r="988" customFormat="false" ht="12.75" hidden="false" customHeight="true" outlineLevel="0" collapsed="false"/>
    <row r="989" customFormat="false" ht="12.75" hidden="false" customHeight="true" outlineLevel="0" collapsed="false"/>
    <row r="990" customFormat="false" ht="12.75" hidden="false" customHeight="true" outlineLevel="0" collapsed="false"/>
    <row r="991" customFormat="false" ht="12.75" hidden="false" customHeight="true" outlineLevel="0" collapsed="false"/>
    <row r="992" customFormat="false" ht="12.75" hidden="false" customHeight="true" outlineLevel="0" collapsed="false"/>
    <row r="993" customFormat="false" ht="12.75" hidden="false" customHeight="true" outlineLevel="0" collapsed="false"/>
    <row r="994" customFormat="false" ht="12.75" hidden="false" customHeight="true" outlineLevel="0" collapsed="false"/>
    <row r="995" customFormat="false" ht="12.75" hidden="false" customHeight="true" outlineLevel="0" collapsed="false"/>
    <row r="996" customFormat="false" ht="12.75" hidden="false" customHeight="true" outlineLevel="0" collapsed="false"/>
    <row r="997" customFormat="false" ht="12.75" hidden="false" customHeight="true" outlineLevel="0" collapsed="false"/>
    <row r="998" customFormat="false" ht="12.75" hidden="false" customHeight="true" outlineLevel="0" collapsed="false"/>
    <row r="999" customFormat="false" ht="12.75" hidden="false" customHeight="true" outlineLevel="0" collapsed="false"/>
    <row r="1000" customFormat="false" ht="12.75" hidden="false" customHeight="true" outlineLevel="0" collapsed="false"/>
    <row r="1001" customFormat="false" ht="12.75" hidden="false" customHeight="true" outlineLevel="0" collapsed="false"/>
    <row r="1002" customFormat="false" ht="12.75" hidden="false" customHeight="true" outlineLevel="0" collapsed="false"/>
    <row r="1003" customFormat="false" ht="12.75" hidden="false" customHeight="true" outlineLevel="0" collapsed="false"/>
    <row r="1004" customFormat="false" ht="12.75" hidden="false" customHeight="true" outlineLevel="0" collapsed="false"/>
    <row r="1005" customFormat="false" ht="12.75" hidden="false" customHeight="true" outlineLevel="0" collapsed="false"/>
    <row r="1006" customFormat="false" ht="12.75" hidden="false" customHeight="true" outlineLevel="0" collapsed="false"/>
    <row r="1007" customFormat="false" ht="12.75" hidden="false" customHeight="true" outlineLevel="0" collapsed="false"/>
    <row r="1008" customFormat="false" ht="12.75" hidden="false" customHeight="true" outlineLevel="0" collapsed="false"/>
    <row r="1009" customFormat="false" ht="12.75" hidden="false" customHeight="true" outlineLevel="0" collapsed="false"/>
    <row r="1010" customFormat="false" ht="12.75" hidden="false" customHeight="true" outlineLevel="0" collapsed="false"/>
    <row r="1011" customFormat="false" ht="12.75" hidden="false" customHeight="true" outlineLevel="0" collapsed="false"/>
    <row r="1012" customFormat="false" ht="12.75" hidden="false" customHeight="true" outlineLevel="0" collapsed="false"/>
    <row r="1013" customFormat="false" ht="12.75" hidden="false" customHeight="true" outlineLevel="0" collapsed="false"/>
    <row r="1014" customFormat="false" ht="12.75" hidden="false" customHeight="true" outlineLevel="0" collapsed="false"/>
    <row r="1015" customFormat="false" ht="12.75" hidden="false" customHeight="true" outlineLevel="0" collapsed="false"/>
    <row r="1016" customFormat="false" ht="12.75" hidden="false" customHeight="true" outlineLevel="0" collapsed="false"/>
    <row r="1017" customFormat="false" ht="12.75" hidden="false" customHeight="true" outlineLevel="0" collapsed="false"/>
    <row r="1018" customFormat="false" ht="12.75" hidden="false" customHeight="true" outlineLevel="0" collapsed="false"/>
    <row r="1019" customFormat="false" ht="12.75" hidden="false" customHeight="true" outlineLevel="0" collapsed="false"/>
    <row r="1020" customFormat="false" ht="12.75" hidden="false" customHeight="true" outlineLevel="0" collapsed="false"/>
    <row r="1021" customFormat="false" ht="12.75" hidden="false" customHeight="true" outlineLevel="0" collapsed="false"/>
    <row r="1022" customFormat="false" ht="12.75" hidden="false" customHeight="true" outlineLevel="0" collapsed="false"/>
    <row r="1023" customFormat="false" ht="12.75" hidden="false" customHeight="true" outlineLevel="0" collapsed="false"/>
    <row r="1024" customFormat="false" ht="12.75" hidden="false" customHeight="true" outlineLevel="0" collapsed="false"/>
    <row r="1025" customFormat="false" ht="12.75" hidden="false" customHeight="true" outlineLevel="0" collapsed="false"/>
    <row r="1026" customFormat="false" ht="12.75" hidden="false" customHeight="true" outlineLevel="0" collapsed="false"/>
    <row r="1027" customFormat="false" ht="12.75" hidden="false" customHeight="true" outlineLevel="0" collapsed="false"/>
    <row r="1028" customFormat="false" ht="12.75" hidden="false" customHeight="true" outlineLevel="0" collapsed="false"/>
    <row r="1029" customFormat="false" ht="12.75" hidden="false" customHeight="true" outlineLevel="0" collapsed="false"/>
    <row r="1030" customFormat="false" ht="12.75" hidden="false" customHeight="true" outlineLevel="0" collapsed="false"/>
    <row r="1031" customFormat="false" ht="12.75" hidden="false" customHeight="true" outlineLevel="0" collapsed="false"/>
    <row r="1032" customFormat="false" ht="12.75" hidden="false" customHeight="true" outlineLevel="0" collapsed="false"/>
    <row r="1033" customFormat="false" ht="12.75" hidden="false" customHeight="true" outlineLevel="0" collapsed="false"/>
    <row r="1034" customFormat="false" ht="12.75" hidden="false" customHeight="true" outlineLevel="0" collapsed="false"/>
    <row r="1035" customFormat="false" ht="12.75" hidden="false" customHeight="true" outlineLevel="0" collapsed="false"/>
    <row r="1036" customFormat="false" ht="12.75" hidden="false" customHeight="true" outlineLevel="0" collapsed="false"/>
    <row r="1037" customFormat="false" ht="12.75" hidden="false" customHeight="true" outlineLevel="0" collapsed="false"/>
    <row r="1038" customFormat="false" ht="12.75" hidden="false" customHeight="true" outlineLevel="0" collapsed="false"/>
    <row r="1039" customFormat="false" ht="12.75" hidden="false" customHeight="true" outlineLevel="0" collapsed="false"/>
    <row r="1040" customFormat="false" ht="12.75" hidden="false" customHeight="true" outlineLevel="0" collapsed="false"/>
    <row r="1041" customFormat="false" ht="12.75" hidden="false" customHeight="true" outlineLevel="0" collapsed="false"/>
    <row r="1042" customFormat="false" ht="12.75" hidden="false" customHeight="true" outlineLevel="0" collapsed="false"/>
    <row r="1043" customFormat="false" ht="12.75" hidden="false" customHeight="true" outlineLevel="0" collapsed="false"/>
    <row r="1044" customFormat="false" ht="12.75" hidden="false" customHeight="true" outlineLevel="0" collapsed="false"/>
    <row r="1045" customFormat="false" ht="12.75" hidden="false" customHeight="true" outlineLevel="0" collapsed="false"/>
    <row r="1046" customFormat="false" ht="12.75" hidden="false" customHeight="true" outlineLevel="0" collapsed="false"/>
    <row r="1047" customFormat="false" ht="12.75" hidden="false" customHeight="true" outlineLevel="0" collapsed="false"/>
    <row r="1048" customFormat="false" ht="12.75" hidden="false" customHeight="true" outlineLevel="0" collapsed="false"/>
    <row r="1049" customFormat="false" ht="12.75" hidden="false" customHeight="true" outlineLevel="0" collapsed="false"/>
    <row r="1050" customFormat="false" ht="12.75" hidden="false" customHeight="true" outlineLevel="0" collapsed="false"/>
    <row r="1051" customFormat="false" ht="12.75" hidden="false" customHeight="true" outlineLevel="0" collapsed="false"/>
    <row r="1052" customFormat="false" ht="12.75" hidden="false" customHeight="true" outlineLevel="0" collapsed="false"/>
    <row r="1053" customFormat="false" ht="12.75" hidden="false" customHeight="true" outlineLevel="0" collapsed="false"/>
    <row r="1054" customFormat="false" ht="12.75" hidden="false" customHeight="true" outlineLevel="0" collapsed="false"/>
    <row r="1055" customFormat="false" ht="12.75" hidden="false" customHeight="true" outlineLevel="0" collapsed="false"/>
    <row r="1056" customFormat="false" ht="12.75" hidden="false" customHeight="true" outlineLevel="0" collapsed="false"/>
    <row r="1057" customFormat="false" ht="12.75" hidden="false" customHeight="true" outlineLevel="0" collapsed="false"/>
    <row r="1058" customFormat="false" ht="12.75" hidden="false" customHeight="true" outlineLevel="0" collapsed="false"/>
    <row r="1059" customFormat="false" ht="12.75" hidden="false" customHeight="true" outlineLevel="0" collapsed="false"/>
    <row r="1060" customFormat="false" ht="12.75" hidden="false" customHeight="true" outlineLevel="0" collapsed="false"/>
    <row r="1061" customFormat="false" ht="12.75" hidden="false" customHeight="true" outlineLevel="0" collapsed="false"/>
    <row r="1062" customFormat="false" ht="12.75" hidden="false" customHeight="true" outlineLevel="0" collapsed="false"/>
    <row r="1063" customFormat="false" ht="12.75" hidden="false" customHeight="true" outlineLevel="0" collapsed="false"/>
    <row r="1064" customFormat="false" ht="12.75" hidden="false" customHeight="true" outlineLevel="0" collapsed="false"/>
    <row r="1065" customFormat="false" ht="12.75" hidden="false" customHeight="true" outlineLevel="0" collapsed="false"/>
    <row r="1066" customFormat="false" ht="12.75" hidden="false" customHeight="true" outlineLevel="0" collapsed="false"/>
    <row r="1067" customFormat="false" ht="12.75" hidden="false" customHeight="true" outlineLevel="0" collapsed="false"/>
    <row r="1068" customFormat="false" ht="12.75" hidden="false" customHeight="true" outlineLevel="0" collapsed="false"/>
    <row r="1069" customFormat="false" ht="12.75" hidden="false" customHeight="true" outlineLevel="0" collapsed="false"/>
    <row r="1070" customFormat="false" ht="12.75" hidden="false" customHeight="true" outlineLevel="0" collapsed="false"/>
    <row r="1071" customFormat="false" ht="12.75" hidden="false" customHeight="true" outlineLevel="0" collapsed="false"/>
    <row r="1072" customFormat="false" ht="12.75" hidden="false" customHeight="true" outlineLevel="0" collapsed="false"/>
    <row r="1073" customFormat="false" ht="12.75" hidden="false" customHeight="true" outlineLevel="0" collapsed="false"/>
    <row r="1074" customFormat="false" ht="12.75" hidden="false" customHeight="true" outlineLevel="0" collapsed="false"/>
    <row r="1075" customFormat="false" ht="12.75" hidden="false" customHeight="true" outlineLevel="0" collapsed="false"/>
    <row r="1076" customFormat="false" ht="12.75" hidden="false" customHeight="true" outlineLevel="0" collapsed="false"/>
    <row r="1077" customFormat="false" ht="12.75" hidden="false" customHeight="true" outlineLevel="0" collapsed="false"/>
    <row r="1078" customFormat="false" ht="12.75" hidden="false" customHeight="true" outlineLevel="0" collapsed="false"/>
    <row r="1079" customFormat="false" ht="12.75" hidden="false" customHeight="true" outlineLevel="0" collapsed="false"/>
    <row r="1080" customFormat="false" ht="12.75" hidden="false" customHeight="true" outlineLevel="0" collapsed="false"/>
    <row r="1081" customFormat="false" ht="12.75" hidden="false" customHeight="true" outlineLevel="0" collapsed="false"/>
    <row r="1082" customFormat="false" ht="12.75" hidden="false" customHeight="true" outlineLevel="0" collapsed="false"/>
    <row r="1083" customFormat="false" ht="12.75" hidden="false" customHeight="true" outlineLevel="0" collapsed="false"/>
    <row r="1084" customFormat="false" ht="12.75" hidden="false" customHeight="true" outlineLevel="0" collapsed="false"/>
    <row r="1085" customFormat="false" ht="12.75" hidden="false" customHeight="true" outlineLevel="0" collapsed="false"/>
    <row r="1086" customFormat="false" ht="12.75" hidden="false" customHeight="true" outlineLevel="0" collapsed="false"/>
    <row r="1087" customFormat="false" ht="12.75" hidden="false" customHeight="true" outlineLevel="0" collapsed="false"/>
    <row r="1088" customFormat="false" ht="12.75" hidden="false" customHeight="true" outlineLevel="0" collapsed="false"/>
    <row r="1089" customFormat="false" ht="12.75" hidden="false" customHeight="true" outlineLevel="0" collapsed="false"/>
    <row r="1090" customFormat="false" ht="12.75" hidden="false" customHeight="true" outlineLevel="0" collapsed="false"/>
    <row r="1091" customFormat="false" ht="12.75" hidden="false" customHeight="true" outlineLevel="0" collapsed="false"/>
    <row r="1092" customFormat="false" ht="12.75" hidden="false" customHeight="true" outlineLevel="0" collapsed="false"/>
    <row r="1093" customFormat="false" ht="12.75" hidden="false" customHeight="true" outlineLevel="0" collapsed="false"/>
    <row r="1094" customFormat="false" ht="12.75" hidden="false" customHeight="true" outlineLevel="0" collapsed="false"/>
    <row r="1095" customFormat="false" ht="12.75" hidden="false" customHeight="true" outlineLevel="0" collapsed="false"/>
    <row r="1096" customFormat="false" ht="12.75" hidden="false" customHeight="true" outlineLevel="0" collapsed="false"/>
    <row r="1097" customFormat="false" ht="12.75" hidden="false" customHeight="true" outlineLevel="0" collapsed="false"/>
    <row r="1098" customFormat="false" ht="12.75" hidden="false" customHeight="true" outlineLevel="0" collapsed="false"/>
    <row r="1099" customFormat="false" ht="12.75" hidden="false" customHeight="true" outlineLevel="0" collapsed="false"/>
    <row r="1100" customFormat="false" ht="12.75" hidden="false" customHeight="true" outlineLevel="0" collapsed="false"/>
    <row r="1101" customFormat="false" ht="12.75" hidden="false" customHeight="true" outlineLevel="0" collapsed="false"/>
    <row r="1102" customFormat="false" ht="12.75" hidden="false" customHeight="true" outlineLevel="0" collapsed="false"/>
    <row r="1103" customFormat="false" ht="12.75" hidden="false" customHeight="true" outlineLevel="0" collapsed="false"/>
    <row r="1104" customFormat="false" ht="12.75" hidden="false" customHeight="true" outlineLevel="0" collapsed="false"/>
    <row r="1105" customFormat="false" ht="12.75" hidden="false" customHeight="true" outlineLevel="0" collapsed="false"/>
    <row r="1106" customFormat="false" ht="12.75" hidden="false" customHeight="true" outlineLevel="0" collapsed="false"/>
    <row r="1107" customFormat="false" ht="12.75" hidden="false" customHeight="true" outlineLevel="0" collapsed="false"/>
    <row r="1108" customFormat="false" ht="12.75" hidden="false" customHeight="true" outlineLevel="0" collapsed="false"/>
    <row r="1109" customFormat="false" ht="12.75" hidden="false" customHeight="true" outlineLevel="0" collapsed="false"/>
    <row r="1110" customFormat="false" ht="12.75" hidden="false" customHeight="true" outlineLevel="0" collapsed="false"/>
    <row r="1111" customFormat="false" ht="12.75" hidden="false" customHeight="true" outlineLevel="0" collapsed="false"/>
    <row r="1112" customFormat="false" ht="12.75" hidden="false" customHeight="true" outlineLevel="0" collapsed="false"/>
    <row r="1113" customFormat="false" ht="12.75" hidden="false" customHeight="true" outlineLevel="0" collapsed="false"/>
    <row r="1114" customFormat="false" ht="12.75" hidden="false" customHeight="true" outlineLevel="0" collapsed="false"/>
    <row r="1115" customFormat="false" ht="12.75" hidden="false" customHeight="true" outlineLevel="0" collapsed="false"/>
    <row r="1116" customFormat="false" ht="12.75" hidden="false" customHeight="true" outlineLevel="0" collapsed="false"/>
    <row r="1117" customFormat="false" ht="12.75" hidden="false" customHeight="true" outlineLevel="0" collapsed="false"/>
    <row r="1118" customFormat="false" ht="12.75" hidden="false" customHeight="true" outlineLevel="0" collapsed="false"/>
    <row r="1119" customFormat="false" ht="12.75" hidden="false" customHeight="true" outlineLevel="0" collapsed="false"/>
    <row r="1120" customFormat="false" ht="12.75" hidden="false" customHeight="true" outlineLevel="0" collapsed="false"/>
    <row r="1121" customFormat="false" ht="12.75" hidden="false" customHeight="true" outlineLevel="0" collapsed="false"/>
    <row r="1122" customFormat="false" ht="12.75" hidden="false" customHeight="true" outlineLevel="0" collapsed="false"/>
    <row r="1123" customFormat="false" ht="12.75" hidden="false" customHeight="true" outlineLevel="0" collapsed="false"/>
    <row r="1124" customFormat="false" ht="12.75" hidden="false" customHeight="true" outlineLevel="0" collapsed="false"/>
    <row r="1125" customFormat="false" ht="12.75" hidden="false" customHeight="true" outlineLevel="0" collapsed="false"/>
    <row r="1126" customFormat="false" ht="12.75" hidden="false" customHeight="true" outlineLevel="0" collapsed="false"/>
    <row r="1127" customFormat="false" ht="12.75" hidden="false" customHeight="true" outlineLevel="0" collapsed="false"/>
    <row r="1128" customFormat="false" ht="12.75" hidden="false" customHeight="true" outlineLevel="0" collapsed="false"/>
    <row r="1129" customFormat="false" ht="12.75" hidden="false" customHeight="true" outlineLevel="0" collapsed="false"/>
    <row r="1130" customFormat="false" ht="12.75" hidden="false" customHeight="true" outlineLevel="0" collapsed="false"/>
    <row r="1131" customFormat="false" ht="12.75" hidden="false" customHeight="true" outlineLevel="0" collapsed="false"/>
    <row r="1132" customFormat="false" ht="12.75" hidden="false" customHeight="true" outlineLevel="0" collapsed="false"/>
    <row r="1133" customFormat="false" ht="12.75" hidden="false" customHeight="true" outlineLevel="0" collapsed="false"/>
    <row r="1134" customFormat="false" ht="12.75" hidden="false" customHeight="true" outlineLevel="0" collapsed="false"/>
    <row r="1135" customFormat="false" ht="12.75" hidden="false" customHeight="true" outlineLevel="0" collapsed="false"/>
    <row r="1136" customFormat="false" ht="12.75" hidden="false" customHeight="true" outlineLevel="0" collapsed="false"/>
    <row r="1137" customFormat="false" ht="12.75" hidden="false" customHeight="true" outlineLevel="0" collapsed="false"/>
    <row r="1138" customFormat="false" ht="12.75" hidden="false" customHeight="true" outlineLevel="0" collapsed="false"/>
    <row r="1139" customFormat="false" ht="12.75" hidden="false" customHeight="true" outlineLevel="0" collapsed="false"/>
    <row r="1140" customFormat="false" ht="12.75" hidden="false" customHeight="true" outlineLevel="0" collapsed="false"/>
    <row r="1141" customFormat="false" ht="12.75" hidden="false" customHeight="true" outlineLevel="0" collapsed="false"/>
    <row r="1142" customFormat="false" ht="12.75" hidden="false" customHeight="true" outlineLevel="0" collapsed="false"/>
    <row r="1143" customFormat="false" ht="12.75" hidden="false" customHeight="true" outlineLevel="0" collapsed="false"/>
    <row r="1144" customFormat="false" ht="12.75" hidden="false" customHeight="true" outlineLevel="0" collapsed="false"/>
    <row r="1145" customFormat="false" ht="12.75" hidden="false" customHeight="true" outlineLevel="0" collapsed="false"/>
    <row r="1146" customFormat="false" ht="12.75" hidden="false" customHeight="true" outlineLevel="0" collapsed="false"/>
    <row r="1147" customFormat="false" ht="12.75" hidden="false" customHeight="true" outlineLevel="0" collapsed="false"/>
    <row r="1148" customFormat="false" ht="12.75" hidden="false" customHeight="true" outlineLevel="0" collapsed="false"/>
    <row r="1149" customFormat="false" ht="12.75" hidden="false" customHeight="true" outlineLevel="0" collapsed="false"/>
    <row r="1150" customFormat="false" ht="12.75" hidden="false" customHeight="true" outlineLevel="0" collapsed="false"/>
    <row r="1151" customFormat="false" ht="12.75" hidden="false" customHeight="true" outlineLevel="0" collapsed="false"/>
    <row r="1152" customFormat="false" ht="12.75" hidden="false" customHeight="true" outlineLevel="0" collapsed="false"/>
    <row r="1153" customFormat="false" ht="12.75" hidden="false" customHeight="true" outlineLevel="0" collapsed="false"/>
    <row r="1154" customFormat="false" ht="12.75" hidden="false" customHeight="true" outlineLevel="0" collapsed="false"/>
    <row r="1155" customFormat="false" ht="12.75" hidden="false" customHeight="true" outlineLevel="0" collapsed="false"/>
    <row r="1156" customFormat="false" ht="12.75" hidden="false" customHeight="true" outlineLevel="0" collapsed="false"/>
    <row r="1157" customFormat="false" ht="12.75" hidden="false" customHeight="true" outlineLevel="0" collapsed="false"/>
    <row r="1158" customFormat="false" ht="12.75" hidden="false" customHeight="true" outlineLevel="0" collapsed="false"/>
    <row r="1159" customFormat="false" ht="12.75" hidden="false" customHeight="true" outlineLevel="0" collapsed="false"/>
    <row r="1160" customFormat="false" ht="12.75" hidden="false" customHeight="true" outlineLevel="0" collapsed="false"/>
    <row r="1161" customFormat="false" ht="12.75" hidden="false" customHeight="true" outlineLevel="0" collapsed="false"/>
    <row r="1162" customFormat="false" ht="12.75" hidden="false" customHeight="true" outlineLevel="0" collapsed="false"/>
    <row r="1163" customFormat="false" ht="12.75" hidden="false" customHeight="true" outlineLevel="0" collapsed="false"/>
    <row r="1164" customFormat="false" ht="12.75" hidden="false" customHeight="true" outlineLevel="0" collapsed="false"/>
    <row r="1165" customFormat="false" ht="12.75" hidden="false" customHeight="true" outlineLevel="0" collapsed="false"/>
    <row r="1166" customFormat="false" ht="12.75" hidden="false" customHeight="true" outlineLevel="0" collapsed="false"/>
    <row r="1167" customFormat="false" ht="12.75" hidden="false" customHeight="true" outlineLevel="0" collapsed="false"/>
    <row r="1168" customFormat="false" ht="12.75" hidden="false" customHeight="true" outlineLevel="0" collapsed="false"/>
    <row r="1169" customFormat="false" ht="12.75" hidden="false" customHeight="true" outlineLevel="0" collapsed="false"/>
    <row r="1170" customFormat="false" ht="12.75" hidden="false" customHeight="true" outlineLevel="0" collapsed="false"/>
    <row r="1171" customFormat="false" ht="12.75" hidden="false" customHeight="true" outlineLevel="0" collapsed="false"/>
    <row r="1172" customFormat="false" ht="12.75" hidden="false" customHeight="true" outlineLevel="0" collapsed="false"/>
    <row r="1173" customFormat="false" ht="12.75" hidden="false" customHeight="true" outlineLevel="0" collapsed="false"/>
    <row r="1174" customFormat="false" ht="12.75" hidden="false" customHeight="true" outlineLevel="0" collapsed="false"/>
    <row r="1175" customFormat="false" ht="12.75" hidden="false" customHeight="true" outlineLevel="0" collapsed="false"/>
    <row r="1176" customFormat="false" ht="12.75" hidden="false" customHeight="true" outlineLevel="0" collapsed="false"/>
    <row r="1177" customFormat="false" ht="12.75" hidden="false" customHeight="true" outlineLevel="0" collapsed="false"/>
    <row r="1178" customFormat="false" ht="12.75" hidden="false" customHeight="true" outlineLevel="0" collapsed="false"/>
    <row r="1179" customFormat="false" ht="12.75" hidden="false" customHeight="true" outlineLevel="0" collapsed="false"/>
    <row r="1180" customFormat="false" ht="12.75" hidden="false" customHeight="true" outlineLevel="0" collapsed="false"/>
    <row r="1181" customFormat="false" ht="12.75" hidden="false" customHeight="true" outlineLevel="0" collapsed="false"/>
    <row r="1182" customFormat="false" ht="12.75" hidden="false" customHeight="true" outlineLevel="0" collapsed="false"/>
    <row r="1183" customFormat="false" ht="12.75" hidden="false" customHeight="true" outlineLevel="0" collapsed="false"/>
    <row r="1184" customFormat="false" ht="12.75" hidden="false" customHeight="true" outlineLevel="0" collapsed="false"/>
    <row r="1185" customFormat="false" ht="12.75" hidden="false" customHeight="true" outlineLevel="0" collapsed="false"/>
    <row r="1186" customFormat="false" ht="12.75" hidden="false" customHeight="true" outlineLevel="0" collapsed="false"/>
    <row r="1187" customFormat="false" ht="12.75" hidden="false" customHeight="true" outlineLevel="0" collapsed="false"/>
    <row r="1188" customFormat="false" ht="12.75" hidden="false" customHeight="true" outlineLevel="0" collapsed="false"/>
    <row r="1189" customFormat="false" ht="12.75" hidden="false" customHeight="true" outlineLevel="0" collapsed="false"/>
    <row r="1190" customFormat="false" ht="12.75" hidden="false" customHeight="true" outlineLevel="0" collapsed="false"/>
    <row r="1191" customFormat="false" ht="12.75" hidden="false" customHeight="true" outlineLevel="0" collapsed="false"/>
    <row r="1192" customFormat="false" ht="12.75" hidden="false" customHeight="true" outlineLevel="0" collapsed="false"/>
    <row r="1193" customFormat="false" ht="12.75" hidden="false" customHeight="true" outlineLevel="0" collapsed="false"/>
    <row r="1194" customFormat="false" ht="12.75" hidden="false" customHeight="true" outlineLevel="0" collapsed="false"/>
    <row r="1195" customFormat="false" ht="12.75" hidden="false" customHeight="true" outlineLevel="0" collapsed="false"/>
    <row r="1196" customFormat="false" ht="12.75" hidden="false" customHeight="true" outlineLevel="0" collapsed="false"/>
    <row r="1197" customFormat="false" ht="12.75" hidden="false" customHeight="true" outlineLevel="0" collapsed="false"/>
    <row r="1198" customFormat="false" ht="12.75" hidden="false" customHeight="true" outlineLevel="0" collapsed="false"/>
    <row r="1199" customFormat="false" ht="12.75" hidden="false" customHeight="true" outlineLevel="0" collapsed="false"/>
    <row r="1200" customFormat="false" ht="12.75" hidden="false" customHeight="true" outlineLevel="0" collapsed="false"/>
    <row r="1201" customFormat="false" ht="12.75" hidden="false" customHeight="true" outlineLevel="0" collapsed="false"/>
    <row r="1202" customFormat="false" ht="12.75" hidden="false" customHeight="true" outlineLevel="0" collapsed="false"/>
    <row r="1203" customFormat="false" ht="12.75" hidden="false" customHeight="true" outlineLevel="0" collapsed="false"/>
    <row r="1204" customFormat="false" ht="12.75" hidden="false" customHeight="true" outlineLevel="0" collapsed="false"/>
    <row r="1205" customFormat="false" ht="12.75" hidden="false" customHeight="true" outlineLevel="0" collapsed="false"/>
    <row r="1206" customFormat="false" ht="12.75" hidden="false" customHeight="true" outlineLevel="0" collapsed="false"/>
    <row r="1207" customFormat="false" ht="12.75" hidden="false" customHeight="true" outlineLevel="0" collapsed="false"/>
    <row r="1208" customFormat="false" ht="12.75" hidden="false" customHeight="true" outlineLevel="0" collapsed="false"/>
    <row r="1209" customFormat="false" ht="12.75" hidden="false" customHeight="true" outlineLevel="0" collapsed="false"/>
    <row r="1210" customFormat="false" ht="12.75" hidden="false" customHeight="true" outlineLevel="0" collapsed="false"/>
    <row r="1211" customFormat="false" ht="12.75" hidden="false" customHeight="true" outlineLevel="0" collapsed="false"/>
    <row r="1212" customFormat="false" ht="12.75" hidden="false" customHeight="true" outlineLevel="0" collapsed="false"/>
    <row r="1213" customFormat="false" ht="12.75" hidden="false" customHeight="true" outlineLevel="0" collapsed="false"/>
    <row r="1214" customFormat="false" ht="12.75" hidden="false" customHeight="true" outlineLevel="0" collapsed="false"/>
    <row r="1215" customFormat="false" ht="12.75" hidden="false" customHeight="true" outlineLevel="0" collapsed="false"/>
    <row r="1216" customFormat="false" ht="12.75" hidden="false" customHeight="true" outlineLevel="0" collapsed="false"/>
    <row r="1217" customFormat="false" ht="12.75" hidden="false" customHeight="true" outlineLevel="0" collapsed="false"/>
    <row r="1218" customFormat="false" ht="12.75" hidden="false" customHeight="true" outlineLevel="0" collapsed="false"/>
    <row r="1219" customFormat="false" ht="12.75" hidden="false" customHeight="true" outlineLevel="0" collapsed="false"/>
    <row r="1220" customFormat="false" ht="12.75" hidden="false" customHeight="true" outlineLevel="0" collapsed="false"/>
    <row r="1221" customFormat="false" ht="12.75" hidden="false" customHeight="true" outlineLevel="0" collapsed="false"/>
    <row r="1222" customFormat="false" ht="12.75" hidden="false" customHeight="true" outlineLevel="0" collapsed="false"/>
    <row r="1223" customFormat="false" ht="12.75" hidden="false" customHeight="true" outlineLevel="0" collapsed="false"/>
    <row r="1224" customFormat="false" ht="12.75" hidden="false" customHeight="true" outlineLevel="0" collapsed="false"/>
    <row r="1225" customFormat="false" ht="12.75" hidden="false" customHeight="true" outlineLevel="0" collapsed="false"/>
    <row r="1226" customFormat="false" ht="12.75" hidden="false" customHeight="true" outlineLevel="0" collapsed="false"/>
    <row r="1227" customFormat="false" ht="12.75" hidden="false" customHeight="true" outlineLevel="0" collapsed="false"/>
    <row r="1228" customFormat="false" ht="12.75" hidden="false" customHeight="true" outlineLevel="0" collapsed="false"/>
    <row r="1229" customFormat="false" ht="12.75" hidden="false" customHeight="true" outlineLevel="0" collapsed="false"/>
    <row r="1230" customFormat="false" ht="12.75" hidden="false" customHeight="true" outlineLevel="0" collapsed="false"/>
    <row r="1231" customFormat="false" ht="12.75" hidden="false" customHeight="true" outlineLevel="0" collapsed="false"/>
    <row r="1232" customFormat="false" ht="12.75" hidden="false" customHeight="true" outlineLevel="0" collapsed="false"/>
    <row r="1233" customFormat="false" ht="12.75" hidden="false" customHeight="true" outlineLevel="0" collapsed="false"/>
    <row r="1234" customFormat="false" ht="12.75" hidden="false" customHeight="true" outlineLevel="0" collapsed="false"/>
    <row r="1235" customFormat="false" ht="12.75" hidden="false" customHeight="true" outlineLevel="0" collapsed="false"/>
    <row r="1236" customFormat="false" ht="12.75" hidden="false" customHeight="true" outlineLevel="0" collapsed="false"/>
    <row r="1237" customFormat="false" ht="12.75" hidden="false" customHeight="true" outlineLevel="0" collapsed="false"/>
    <row r="1238" customFormat="false" ht="12.75" hidden="false" customHeight="true" outlineLevel="0" collapsed="false"/>
    <row r="1239" customFormat="false" ht="12.75" hidden="false" customHeight="true" outlineLevel="0" collapsed="false"/>
    <row r="1240" customFormat="false" ht="12.75" hidden="false" customHeight="true" outlineLevel="0" collapsed="false"/>
    <row r="1241" customFormat="false" ht="12.75" hidden="false" customHeight="true" outlineLevel="0" collapsed="false"/>
    <row r="1242" customFormat="false" ht="12.75" hidden="false" customHeight="true" outlineLevel="0" collapsed="false"/>
    <row r="1243" customFormat="false" ht="12.75" hidden="false" customHeight="true" outlineLevel="0" collapsed="false"/>
    <row r="1244" customFormat="false" ht="12.75" hidden="false" customHeight="true" outlineLevel="0" collapsed="false"/>
    <row r="1245" customFormat="false" ht="12.75" hidden="false" customHeight="true" outlineLevel="0" collapsed="false"/>
    <row r="1246" customFormat="false" ht="12.75" hidden="false" customHeight="true" outlineLevel="0" collapsed="false"/>
    <row r="1247" customFormat="false" ht="12.75" hidden="false" customHeight="true" outlineLevel="0" collapsed="false"/>
    <row r="1248" customFormat="false" ht="12.75" hidden="false" customHeight="true" outlineLevel="0" collapsed="false"/>
    <row r="1249" customFormat="false" ht="12.75" hidden="false" customHeight="true" outlineLevel="0" collapsed="false"/>
    <row r="1250" customFormat="false" ht="12.75" hidden="false" customHeight="true" outlineLevel="0" collapsed="false"/>
    <row r="1251" customFormat="false" ht="12.75" hidden="false" customHeight="true" outlineLevel="0" collapsed="false"/>
    <row r="1252" customFormat="false" ht="12.75" hidden="false" customHeight="true" outlineLevel="0" collapsed="false"/>
    <row r="1253" customFormat="false" ht="12.75" hidden="false" customHeight="true" outlineLevel="0" collapsed="false"/>
    <row r="1254" customFormat="false" ht="12.75" hidden="false" customHeight="true" outlineLevel="0" collapsed="false"/>
    <row r="1255" customFormat="false" ht="12.75" hidden="false" customHeight="true" outlineLevel="0" collapsed="false"/>
    <row r="1256" customFormat="false" ht="12.75" hidden="false" customHeight="true" outlineLevel="0" collapsed="false"/>
    <row r="1257" customFormat="false" ht="12.75" hidden="false" customHeight="true" outlineLevel="0" collapsed="false"/>
    <row r="1258" customFormat="false" ht="12.75" hidden="false" customHeight="true" outlineLevel="0" collapsed="false"/>
    <row r="1259" customFormat="false" ht="12.75" hidden="false" customHeight="true" outlineLevel="0" collapsed="false"/>
    <row r="1260" customFormat="false" ht="12.75" hidden="false" customHeight="true" outlineLevel="0" collapsed="false"/>
    <row r="1261" customFormat="false" ht="12.75" hidden="false" customHeight="true" outlineLevel="0" collapsed="false"/>
    <row r="1262" customFormat="false" ht="12.75" hidden="false" customHeight="true" outlineLevel="0" collapsed="false"/>
    <row r="1263" customFormat="false" ht="12.75" hidden="false" customHeight="true" outlineLevel="0" collapsed="false"/>
    <row r="1264" customFormat="false" ht="12.75" hidden="false" customHeight="true" outlineLevel="0" collapsed="false"/>
    <row r="1265" customFormat="false" ht="12.75" hidden="false" customHeight="true" outlineLevel="0" collapsed="false"/>
    <row r="1266" customFormat="false" ht="12.75" hidden="false" customHeight="true" outlineLevel="0" collapsed="false"/>
    <row r="1267" customFormat="false" ht="12.75" hidden="false" customHeight="true" outlineLevel="0" collapsed="false"/>
    <row r="1268" customFormat="false" ht="12.75" hidden="false" customHeight="true" outlineLevel="0" collapsed="false"/>
    <row r="1269" customFormat="false" ht="12.75" hidden="false" customHeight="true" outlineLevel="0" collapsed="false"/>
    <row r="1270" customFormat="false" ht="12.75" hidden="false" customHeight="true" outlineLevel="0" collapsed="false"/>
    <row r="1271" customFormat="false" ht="12.75" hidden="false" customHeight="true" outlineLevel="0" collapsed="false"/>
    <row r="1272" customFormat="false" ht="12.75" hidden="false" customHeight="true" outlineLevel="0" collapsed="false"/>
    <row r="1273" customFormat="false" ht="12.75" hidden="false" customHeight="true" outlineLevel="0" collapsed="false"/>
    <row r="1274" customFormat="false" ht="12.75" hidden="false" customHeight="true" outlineLevel="0" collapsed="false"/>
    <row r="1275" customFormat="false" ht="12.75" hidden="false" customHeight="true" outlineLevel="0" collapsed="false"/>
    <row r="1276" customFormat="false" ht="12.75" hidden="false" customHeight="true" outlineLevel="0" collapsed="false"/>
    <row r="1277" customFormat="false" ht="12.75" hidden="false" customHeight="true" outlineLevel="0" collapsed="false"/>
    <row r="1278" customFormat="false" ht="12.75" hidden="false" customHeight="true" outlineLevel="0" collapsed="false"/>
    <row r="1279" customFormat="false" ht="12.75" hidden="false" customHeight="true" outlineLevel="0" collapsed="false"/>
    <row r="1280" customFormat="false" ht="12.75" hidden="false" customHeight="true" outlineLevel="0" collapsed="false"/>
    <row r="1281" customFormat="false" ht="12.75" hidden="false" customHeight="true" outlineLevel="0" collapsed="false"/>
    <row r="1282" customFormat="false" ht="12.75" hidden="false" customHeight="true" outlineLevel="0" collapsed="false"/>
    <row r="1283" customFormat="false" ht="12.75" hidden="false" customHeight="true" outlineLevel="0" collapsed="false"/>
    <row r="1284" customFormat="false" ht="12.75" hidden="false" customHeight="true" outlineLevel="0" collapsed="false"/>
    <row r="1285" customFormat="false" ht="12.75" hidden="false" customHeight="true" outlineLevel="0" collapsed="false"/>
    <row r="1286" customFormat="false" ht="12.75" hidden="false" customHeight="true" outlineLevel="0" collapsed="false"/>
    <row r="1287" customFormat="false" ht="12.75" hidden="false" customHeight="true" outlineLevel="0" collapsed="false"/>
    <row r="1288" customFormat="false" ht="12.75" hidden="false" customHeight="true" outlineLevel="0" collapsed="false"/>
    <row r="1289" customFormat="false" ht="12.75" hidden="false" customHeight="true" outlineLevel="0" collapsed="false"/>
    <row r="1290" customFormat="false" ht="12.75" hidden="false" customHeight="true" outlineLevel="0" collapsed="false"/>
    <row r="1291" customFormat="false" ht="12.75" hidden="false" customHeight="true" outlineLevel="0" collapsed="false"/>
    <row r="1292" customFormat="false" ht="12.75" hidden="false" customHeight="true" outlineLevel="0" collapsed="false"/>
    <row r="1293" customFormat="false" ht="12.75" hidden="false" customHeight="true" outlineLevel="0" collapsed="false"/>
    <row r="1294" customFormat="false" ht="12.75" hidden="false" customHeight="true" outlineLevel="0" collapsed="false"/>
    <row r="1295" customFormat="false" ht="12.75" hidden="false" customHeight="true" outlineLevel="0" collapsed="false"/>
    <row r="1296" customFormat="false" ht="12.75" hidden="false" customHeight="true" outlineLevel="0" collapsed="false"/>
    <row r="1297" customFormat="false" ht="12.75" hidden="false" customHeight="true" outlineLevel="0" collapsed="false"/>
    <row r="1298" customFormat="false" ht="12.75" hidden="false" customHeight="true" outlineLevel="0" collapsed="false"/>
    <row r="1299" customFormat="false" ht="12.75" hidden="false" customHeight="true" outlineLevel="0" collapsed="false"/>
    <row r="1300" customFormat="false" ht="12.75" hidden="false" customHeight="true" outlineLevel="0" collapsed="false"/>
    <row r="1301" customFormat="false" ht="12.75" hidden="false" customHeight="true" outlineLevel="0" collapsed="false"/>
    <row r="1302" customFormat="false" ht="12.75" hidden="false" customHeight="true" outlineLevel="0" collapsed="false"/>
    <row r="1303" customFormat="false" ht="12.75" hidden="false" customHeight="true" outlineLevel="0" collapsed="false"/>
    <row r="1304" customFormat="false" ht="12.75" hidden="false" customHeight="true" outlineLevel="0" collapsed="false"/>
    <row r="1305" customFormat="false" ht="12.75" hidden="false" customHeight="true" outlineLevel="0" collapsed="false"/>
    <row r="1306" customFormat="false" ht="12.75" hidden="false" customHeight="true" outlineLevel="0" collapsed="false"/>
    <row r="1307" customFormat="false" ht="12.75" hidden="false" customHeight="true" outlineLevel="0" collapsed="false"/>
    <row r="1308" customFormat="false" ht="12.75" hidden="false" customHeight="true" outlineLevel="0" collapsed="false"/>
    <row r="1309" customFormat="false" ht="12.75" hidden="false" customHeight="true" outlineLevel="0" collapsed="false"/>
    <row r="1310" customFormat="false" ht="12.75" hidden="false" customHeight="true" outlineLevel="0" collapsed="false"/>
    <row r="1311" customFormat="false" ht="12.75" hidden="false" customHeight="true" outlineLevel="0" collapsed="false"/>
    <row r="1312" customFormat="false" ht="12.75" hidden="false" customHeight="true" outlineLevel="0" collapsed="false"/>
    <row r="1313" customFormat="false" ht="12.75" hidden="false" customHeight="true" outlineLevel="0" collapsed="false"/>
    <row r="1314" customFormat="false" ht="12.75" hidden="false" customHeight="true" outlineLevel="0" collapsed="false"/>
    <row r="1315" customFormat="false" ht="12.75" hidden="false" customHeight="true" outlineLevel="0" collapsed="false"/>
    <row r="1316" customFormat="false" ht="12.75" hidden="false" customHeight="true" outlineLevel="0" collapsed="false"/>
    <row r="1317" customFormat="false" ht="12.75" hidden="false" customHeight="true" outlineLevel="0" collapsed="false"/>
    <row r="1318" customFormat="false" ht="12.75" hidden="false" customHeight="true" outlineLevel="0" collapsed="false"/>
    <row r="1319" customFormat="false" ht="12.75" hidden="false" customHeight="true" outlineLevel="0" collapsed="false"/>
    <row r="1320" customFormat="false" ht="12.75" hidden="false" customHeight="true" outlineLevel="0" collapsed="false"/>
    <row r="1321" customFormat="false" ht="12.75" hidden="false" customHeight="true" outlineLevel="0" collapsed="false"/>
    <row r="1322" customFormat="false" ht="12.75" hidden="false" customHeight="true" outlineLevel="0" collapsed="false"/>
    <row r="1323" customFormat="false" ht="12.75" hidden="false" customHeight="true" outlineLevel="0" collapsed="false"/>
    <row r="1324" customFormat="false" ht="12.75" hidden="false" customHeight="true" outlineLevel="0" collapsed="false"/>
    <row r="1325" customFormat="false" ht="12.75" hidden="false" customHeight="true" outlineLevel="0" collapsed="false"/>
    <row r="1326" customFormat="false" ht="12.75" hidden="false" customHeight="true" outlineLevel="0" collapsed="false"/>
    <row r="1327" customFormat="false" ht="12.75" hidden="false" customHeight="true" outlineLevel="0" collapsed="false"/>
    <row r="1328" customFormat="false" ht="12.75" hidden="false" customHeight="true" outlineLevel="0" collapsed="false"/>
    <row r="1329" customFormat="false" ht="12.75" hidden="false" customHeight="true" outlineLevel="0" collapsed="false"/>
    <row r="1330" customFormat="false" ht="12.75" hidden="false" customHeight="true" outlineLevel="0" collapsed="false"/>
    <row r="1331" customFormat="false" ht="12.75" hidden="false" customHeight="true" outlineLevel="0" collapsed="false"/>
    <row r="1332" customFormat="false" ht="12.75" hidden="false" customHeight="true" outlineLevel="0" collapsed="false"/>
    <row r="1333" customFormat="false" ht="12.75" hidden="false" customHeight="true" outlineLevel="0" collapsed="false"/>
    <row r="1334" customFormat="false" ht="12.75" hidden="false" customHeight="true" outlineLevel="0" collapsed="false"/>
    <row r="1335" customFormat="false" ht="12.75" hidden="false" customHeight="true" outlineLevel="0" collapsed="false"/>
    <row r="1336" customFormat="false" ht="12.75" hidden="false" customHeight="true" outlineLevel="0" collapsed="false"/>
    <row r="1337" customFormat="false" ht="12.75" hidden="false" customHeight="true" outlineLevel="0" collapsed="false"/>
    <row r="1338" customFormat="false" ht="12.75" hidden="false" customHeight="true" outlineLevel="0" collapsed="false"/>
    <row r="1339" customFormat="false" ht="12.75" hidden="false" customHeight="true" outlineLevel="0" collapsed="false"/>
    <row r="1340" customFormat="false" ht="12.75" hidden="false" customHeight="true" outlineLevel="0" collapsed="false"/>
    <row r="1341" customFormat="false" ht="12.75" hidden="false" customHeight="true" outlineLevel="0" collapsed="false"/>
    <row r="1342" customFormat="false" ht="12.75" hidden="false" customHeight="true" outlineLevel="0" collapsed="false"/>
    <row r="1343" customFormat="false" ht="12.75" hidden="false" customHeight="true" outlineLevel="0" collapsed="false"/>
    <row r="1344" customFormat="false" ht="12.75" hidden="false" customHeight="true" outlineLevel="0" collapsed="false"/>
    <row r="1345" customFormat="false" ht="12.75" hidden="false" customHeight="true" outlineLevel="0" collapsed="false"/>
    <row r="1346" customFormat="false" ht="12.75" hidden="false" customHeight="true" outlineLevel="0" collapsed="false"/>
    <row r="1347" customFormat="false" ht="12.75" hidden="false" customHeight="true" outlineLevel="0" collapsed="false"/>
    <row r="1348" customFormat="false" ht="12.75" hidden="false" customHeight="true" outlineLevel="0" collapsed="false"/>
    <row r="1349" customFormat="false" ht="12.75" hidden="false" customHeight="true" outlineLevel="0" collapsed="false"/>
    <row r="1350" customFormat="false" ht="12.75" hidden="false" customHeight="true" outlineLevel="0" collapsed="false"/>
    <row r="1351" customFormat="false" ht="12.75" hidden="false" customHeight="true" outlineLevel="0" collapsed="false"/>
    <row r="1352" customFormat="false" ht="12.75" hidden="false" customHeight="true" outlineLevel="0" collapsed="false"/>
    <row r="1353" customFormat="false" ht="12.75" hidden="false" customHeight="true" outlineLevel="0" collapsed="false"/>
    <row r="1354" customFormat="false" ht="12.75" hidden="false" customHeight="true" outlineLevel="0" collapsed="false"/>
    <row r="1355" customFormat="false" ht="12.75" hidden="false" customHeight="true" outlineLevel="0" collapsed="false"/>
    <row r="1356" customFormat="false" ht="12.75" hidden="false" customHeight="true" outlineLevel="0" collapsed="false"/>
    <row r="1357" customFormat="false" ht="12.75" hidden="false" customHeight="true" outlineLevel="0" collapsed="false"/>
    <row r="1358" customFormat="false" ht="12.75" hidden="false" customHeight="true" outlineLevel="0" collapsed="false"/>
    <row r="1359" customFormat="false" ht="12.75" hidden="false" customHeight="true" outlineLevel="0" collapsed="false"/>
    <row r="1360" customFormat="false" ht="12.75" hidden="false" customHeight="true" outlineLevel="0" collapsed="false"/>
    <row r="1361" customFormat="false" ht="12.75" hidden="false" customHeight="true" outlineLevel="0" collapsed="false"/>
    <row r="1362" customFormat="false" ht="12.75" hidden="false" customHeight="true" outlineLevel="0" collapsed="false"/>
    <row r="1363" customFormat="false" ht="12.75" hidden="false" customHeight="true" outlineLevel="0" collapsed="false"/>
    <row r="1364" customFormat="false" ht="12.75" hidden="false" customHeight="true" outlineLevel="0" collapsed="false"/>
    <row r="1365" customFormat="false" ht="12.75" hidden="false" customHeight="true" outlineLevel="0" collapsed="false"/>
    <row r="1366" customFormat="false" ht="12.75" hidden="false" customHeight="true" outlineLevel="0" collapsed="false"/>
    <row r="1367" customFormat="false" ht="12.75" hidden="false" customHeight="true" outlineLevel="0" collapsed="false"/>
    <row r="1368" customFormat="false" ht="12.75" hidden="false" customHeight="true" outlineLevel="0" collapsed="false"/>
    <row r="1369" customFormat="false" ht="12.75" hidden="false" customHeight="true" outlineLevel="0" collapsed="false"/>
    <row r="1370" customFormat="false" ht="12.75" hidden="false" customHeight="true" outlineLevel="0" collapsed="false"/>
    <row r="1371" customFormat="false" ht="12.75" hidden="false" customHeight="true" outlineLevel="0" collapsed="false"/>
    <row r="1372" customFormat="false" ht="12.75" hidden="false" customHeight="true" outlineLevel="0" collapsed="false"/>
    <row r="1373" customFormat="false" ht="12.75" hidden="false" customHeight="true" outlineLevel="0" collapsed="false"/>
    <row r="1374" customFormat="false" ht="12.75" hidden="false" customHeight="true" outlineLevel="0" collapsed="false"/>
    <row r="1375" customFormat="false" ht="12.75" hidden="false" customHeight="true" outlineLevel="0" collapsed="false"/>
    <row r="1376" customFormat="false" ht="12.75" hidden="false" customHeight="true" outlineLevel="0" collapsed="false"/>
    <row r="1377" customFormat="false" ht="12.75" hidden="false" customHeight="true" outlineLevel="0" collapsed="false"/>
    <row r="1378" customFormat="false" ht="12.75" hidden="false" customHeight="true" outlineLevel="0" collapsed="false"/>
    <row r="1379" customFormat="false" ht="12.75" hidden="false" customHeight="true" outlineLevel="0" collapsed="false"/>
    <row r="1380" customFormat="false" ht="12.75" hidden="false" customHeight="true" outlineLevel="0" collapsed="false"/>
    <row r="1381" customFormat="false" ht="12.75" hidden="false" customHeight="true" outlineLevel="0" collapsed="false"/>
    <row r="1382" customFormat="false" ht="12.75" hidden="false" customHeight="true" outlineLevel="0" collapsed="false"/>
    <row r="1383" customFormat="false" ht="12.75" hidden="false" customHeight="true" outlineLevel="0" collapsed="false"/>
    <row r="1384" customFormat="false" ht="12.75" hidden="false" customHeight="true" outlineLevel="0" collapsed="false"/>
    <row r="1385" customFormat="false" ht="12.75" hidden="false" customHeight="true" outlineLevel="0" collapsed="false"/>
    <row r="1386" customFormat="false" ht="12.75" hidden="false" customHeight="true" outlineLevel="0" collapsed="false"/>
    <row r="1387" customFormat="false" ht="12.75" hidden="false" customHeight="true" outlineLevel="0" collapsed="false"/>
    <row r="1388" customFormat="false" ht="12.75" hidden="false" customHeight="true" outlineLevel="0" collapsed="false"/>
    <row r="1389" customFormat="false" ht="12.75" hidden="false" customHeight="true" outlineLevel="0" collapsed="false"/>
    <row r="1390" customFormat="false" ht="12.75" hidden="false" customHeight="true" outlineLevel="0" collapsed="false"/>
    <row r="1391" customFormat="false" ht="12.75" hidden="false" customHeight="true" outlineLevel="0" collapsed="false"/>
    <row r="1392" customFormat="false" ht="12.75" hidden="false" customHeight="true" outlineLevel="0" collapsed="false"/>
    <row r="1393" customFormat="false" ht="12.75" hidden="false" customHeight="true" outlineLevel="0" collapsed="false"/>
    <row r="1394" customFormat="false" ht="12.75" hidden="false" customHeight="true" outlineLevel="0" collapsed="false"/>
    <row r="1395" customFormat="false" ht="12.75" hidden="false" customHeight="true" outlineLevel="0" collapsed="false"/>
    <row r="1396" customFormat="false" ht="12.75" hidden="false" customHeight="true" outlineLevel="0" collapsed="false"/>
    <row r="1397" customFormat="false" ht="12.75" hidden="false" customHeight="true" outlineLevel="0" collapsed="false"/>
    <row r="1398" customFormat="false" ht="12.75" hidden="false" customHeight="true" outlineLevel="0" collapsed="false"/>
    <row r="1399" customFormat="false" ht="12.75" hidden="false" customHeight="true" outlineLevel="0" collapsed="false"/>
    <row r="1400" customFormat="false" ht="12.75" hidden="false" customHeight="true" outlineLevel="0" collapsed="false"/>
    <row r="1401" customFormat="false" ht="12.75" hidden="false" customHeight="true" outlineLevel="0" collapsed="false"/>
    <row r="1402" customFormat="false" ht="12.75" hidden="false" customHeight="true" outlineLevel="0" collapsed="false"/>
    <row r="1403" customFormat="false" ht="12.75" hidden="false" customHeight="true" outlineLevel="0" collapsed="false"/>
    <row r="1404" customFormat="false" ht="12.75" hidden="false" customHeight="true" outlineLevel="0" collapsed="false"/>
    <row r="1405" customFormat="false" ht="12.75" hidden="false" customHeight="true" outlineLevel="0" collapsed="false"/>
    <row r="1406" customFormat="false" ht="12.75" hidden="false" customHeight="true" outlineLevel="0" collapsed="false"/>
    <row r="1407" customFormat="false" ht="12.75" hidden="false" customHeight="true" outlineLevel="0" collapsed="false"/>
    <row r="1408" customFormat="false" ht="12.75" hidden="false" customHeight="true" outlineLevel="0" collapsed="false"/>
    <row r="1409" customFormat="false" ht="12.75" hidden="false" customHeight="true" outlineLevel="0" collapsed="false"/>
    <row r="1410" customFormat="false" ht="12.75" hidden="false" customHeight="true" outlineLevel="0" collapsed="false"/>
    <row r="1411" customFormat="false" ht="12.75" hidden="false" customHeight="true" outlineLevel="0" collapsed="false"/>
    <row r="1412" customFormat="false" ht="12.75" hidden="false" customHeight="true" outlineLevel="0" collapsed="false"/>
    <row r="1413" customFormat="false" ht="12.75" hidden="false" customHeight="true" outlineLevel="0" collapsed="false"/>
    <row r="1414" customFormat="false" ht="12.75" hidden="false" customHeight="true" outlineLevel="0" collapsed="false"/>
    <row r="1415" customFormat="false" ht="12.75" hidden="false" customHeight="true" outlineLevel="0" collapsed="false"/>
    <row r="1416" customFormat="false" ht="12.75" hidden="false" customHeight="true" outlineLevel="0" collapsed="false"/>
    <row r="1417" customFormat="false" ht="12.75" hidden="false" customHeight="true" outlineLevel="0" collapsed="false"/>
    <row r="1418" customFormat="false" ht="12.75" hidden="false" customHeight="true" outlineLevel="0" collapsed="false"/>
    <row r="1419" customFormat="false" ht="12.75" hidden="false" customHeight="true" outlineLevel="0" collapsed="false"/>
    <row r="1420" customFormat="false" ht="12.75" hidden="false" customHeight="true" outlineLevel="0" collapsed="false"/>
    <row r="1421" customFormat="false" ht="12.75" hidden="false" customHeight="true" outlineLevel="0" collapsed="false"/>
    <row r="1422" customFormat="false" ht="12.75" hidden="false" customHeight="true" outlineLevel="0" collapsed="false"/>
    <row r="1423" customFormat="false" ht="12.75" hidden="false" customHeight="true" outlineLevel="0" collapsed="false"/>
    <row r="1424" customFormat="false" ht="12.75" hidden="false" customHeight="true" outlineLevel="0" collapsed="false"/>
    <row r="1425" customFormat="false" ht="12.75" hidden="false" customHeight="true" outlineLevel="0" collapsed="false"/>
    <row r="1426" customFormat="false" ht="12.75" hidden="false" customHeight="true" outlineLevel="0" collapsed="false"/>
    <row r="1427" customFormat="false" ht="12.75" hidden="false" customHeight="true" outlineLevel="0" collapsed="false"/>
    <row r="1428" customFormat="false" ht="12.75" hidden="false" customHeight="true" outlineLevel="0" collapsed="false"/>
    <row r="1429" customFormat="false" ht="12.75" hidden="false" customHeight="true" outlineLevel="0" collapsed="false"/>
    <row r="1430" customFormat="false" ht="12.75" hidden="false" customHeight="true" outlineLevel="0" collapsed="false"/>
    <row r="1431" customFormat="false" ht="12.75" hidden="false" customHeight="true" outlineLevel="0" collapsed="false"/>
    <row r="1432" customFormat="false" ht="12.75" hidden="false" customHeight="true" outlineLevel="0" collapsed="false"/>
    <row r="1433" customFormat="false" ht="12.75" hidden="false" customHeight="true" outlineLevel="0" collapsed="false"/>
    <row r="1434" customFormat="false" ht="12.75" hidden="false" customHeight="true" outlineLevel="0" collapsed="false"/>
    <row r="1435" customFormat="false" ht="12.75" hidden="false" customHeight="true" outlineLevel="0" collapsed="false"/>
    <row r="1436" customFormat="false" ht="12.75" hidden="false" customHeight="true" outlineLevel="0" collapsed="false"/>
    <row r="1437" customFormat="false" ht="12.75" hidden="false" customHeight="true" outlineLevel="0" collapsed="false"/>
    <row r="1438" customFormat="false" ht="12.75" hidden="false" customHeight="true" outlineLevel="0" collapsed="false"/>
    <row r="1439" customFormat="false" ht="12.75" hidden="false" customHeight="true" outlineLevel="0" collapsed="false"/>
    <row r="1440" customFormat="false" ht="12.75" hidden="false" customHeight="true" outlineLevel="0" collapsed="false"/>
    <row r="1441" customFormat="false" ht="12.75" hidden="false" customHeight="true" outlineLevel="0" collapsed="false"/>
    <row r="1442" customFormat="false" ht="12.75" hidden="false" customHeight="true" outlineLevel="0" collapsed="false"/>
    <row r="1443" customFormat="false" ht="12.75" hidden="false" customHeight="true" outlineLevel="0" collapsed="false"/>
    <row r="1444" customFormat="false" ht="12.75" hidden="false" customHeight="true" outlineLevel="0" collapsed="false"/>
    <row r="1445" customFormat="false" ht="12.75" hidden="false" customHeight="true" outlineLevel="0" collapsed="false"/>
    <row r="1446" customFormat="false" ht="12.75" hidden="false" customHeight="true" outlineLevel="0" collapsed="false"/>
    <row r="1447" customFormat="false" ht="12.75" hidden="false" customHeight="true" outlineLevel="0" collapsed="false"/>
    <row r="1448" customFormat="false" ht="12.75" hidden="false" customHeight="true" outlineLevel="0" collapsed="false"/>
    <row r="1449" customFormat="false" ht="12.75" hidden="false" customHeight="true" outlineLevel="0" collapsed="false"/>
    <row r="1450" customFormat="false" ht="12.75" hidden="false" customHeight="true" outlineLevel="0" collapsed="false"/>
    <row r="1451" customFormat="false" ht="12.75" hidden="false" customHeight="true" outlineLevel="0" collapsed="false"/>
    <row r="1452" customFormat="false" ht="12.75" hidden="false" customHeight="true" outlineLevel="0" collapsed="false"/>
    <row r="1453" customFormat="false" ht="12.75" hidden="false" customHeight="true" outlineLevel="0" collapsed="false"/>
    <row r="1454" customFormat="false" ht="12.75" hidden="false" customHeight="true" outlineLevel="0" collapsed="false"/>
    <row r="1455" customFormat="false" ht="12.75" hidden="false" customHeight="true" outlineLevel="0" collapsed="false"/>
    <row r="1456" customFormat="false" ht="12.75" hidden="false" customHeight="true" outlineLevel="0" collapsed="false"/>
    <row r="1457" customFormat="false" ht="12.75" hidden="false" customHeight="true" outlineLevel="0" collapsed="false"/>
    <row r="1458" customFormat="false" ht="12.75" hidden="false" customHeight="true" outlineLevel="0" collapsed="false"/>
    <row r="1459" customFormat="false" ht="12.75" hidden="false" customHeight="true" outlineLevel="0" collapsed="false"/>
    <row r="1460" customFormat="false" ht="12.75" hidden="false" customHeight="true" outlineLevel="0" collapsed="false"/>
    <row r="1461" customFormat="false" ht="12.75" hidden="false" customHeight="true" outlineLevel="0" collapsed="false"/>
    <row r="1462" customFormat="false" ht="12.75" hidden="false" customHeight="true" outlineLevel="0" collapsed="false"/>
    <row r="1463" customFormat="false" ht="12.75" hidden="false" customHeight="true" outlineLevel="0" collapsed="false"/>
    <row r="1464" customFormat="false" ht="12.75" hidden="false" customHeight="true" outlineLevel="0" collapsed="false"/>
    <row r="1465" customFormat="false" ht="12.75" hidden="false" customHeight="true" outlineLevel="0" collapsed="false"/>
    <row r="1466" customFormat="false" ht="12.75" hidden="false" customHeight="true" outlineLevel="0" collapsed="false"/>
    <row r="1467" customFormat="false" ht="12.75" hidden="false" customHeight="true" outlineLevel="0" collapsed="false"/>
    <row r="1468" customFormat="false" ht="12.75" hidden="false" customHeight="true" outlineLevel="0" collapsed="false"/>
    <row r="1469" customFormat="false" ht="12.75" hidden="false" customHeight="true" outlineLevel="0" collapsed="false"/>
    <row r="1470" customFormat="false" ht="12.75" hidden="false" customHeight="true" outlineLevel="0" collapsed="false"/>
    <row r="1471" customFormat="false" ht="12.75" hidden="false" customHeight="true" outlineLevel="0" collapsed="false"/>
    <row r="1472" customFormat="false" ht="12.75" hidden="false" customHeight="true" outlineLevel="0" collapsed="false"/>
    <row r="1473" customFormat="false" ht="12.75" hidden="false" customHeight="true" outlineLevel="0" collapsed="false"/>
    <row r="1474" customFormat="false" ht="12.75" hidden="false" customHeight="true" outlineLevel="0" collapsed="false"/>
    <row r="1475" customFormat="false" ht="12.75" hidden="false" customHeight="true" outlineLevel="0" collapsed="false"/>
    <row r="1476" customFormat="false" ht="12.75" hidden="false" customHeight="true" outlineLevel="0" collapsed="false"/>
    <row r="1477" customFormat="false" ht="12.75" hidden="false" customHeight="true" outlineLevel="0" collapsed="false"/>
    <row r="1478" customFormat="false" ht="12.75" hidden="false" customHeight="true" outlineLevel="0" collapsed="false"/>
    <row r="1479" customFormat="false" ht="12.75" hidden="false" customHeight="true" outlineLevel="0" collapsed="false"/>
    <row r="1480" customFormat="false" ht="12.75" hidden="false" customHeight="true" outlineLevel="0" collapsed="false"/>
    <row r="1481" customFormat="false" ht="12.75" hidden="false" customHeight="true" outlineLevel="0" collapsed="false"/>
    <row r="1482" customFormat="false" ht="12.75" hidden="false" customHeight="true" outlineLevel="0" collapsed="false"/>
    <row r="1483" customFormat="false" ht="12.75" hidden="false" customHeight="true" outlineLevel="0" collapsed="false"/>
    <row r="1484" customFormat="false" ht="12.75" hidden="false" customHeight="true" outlineLevel="0" collapsed="false"/>
    <row r="1485" customFormat="false" ht="12.75" hidden="false" customHeight="true" outlineLevel="0" collapsed="false"/>
    <row r="1486" customFormat="false" ht="12.75" hidden="false" customHeight="true" outlineLevel="0" collapsed="false"/>
    <row r="1487" customFormat="false" ht="12.75" hidden="false" customHeight="true" outlineLevel="0" collapsed="false"/>
    <row r="1488" customFormat="false" ht="12.75" hidden="false" customHeight="true" outlineLevel="0" collapsed="false"/>
    <row r="1489" customFormat="false" ht="12.75" hidden="false" customHeight="true" outlineLevel="0" collapsed="false"/>
    <row r="1490" customFormat="false" ht="12.75" hidden="false" customHeight="true" outlineLevel="0" collapsed="false"/>
    <row r="1491" customFormat="false" ht="12.75" hidden="false" customHeight="true" outlineLevel="0" collapsed="false"/>
    <row r="1492" customFormat="false" ht="12.75" hidden="false" customHeight="true" outlineLevel="0" collapsed="false"/>
    <row r="1493" customFormat="false" ht="12.75" hidden="false" customHeight="true" outlineLevel="0" collapsed="false"/>
    <row r="1494" customFormat="false" ht="12.75" hidden="false" customHeight="true" outlineLevel="0" collapsed="false"/>
    <row r="1495" customFormat="false" ht="12.75" hidden="false" customHeight="true" outlineLevel="0" collapsed="false"/>
    <row r="1496" customFormat="false" ht="12.75" hidden="false" customHeight="true" outlineLevel="0" collapsed="false"/>
    <row r="1497" customFormat="false" ht="12.75" hidden="false" customHeight="true" outlineLevel="0" collapsed="false"/>
    <row r="1498" customFormat="false" ht="12.75" hidden="false" customHeight="true" outlineLevel="0" collapsed="false"/>
    <row r="1499" customFormat="false" ht="12.75" hidden="false" customHeight="true" outlineLevel="0" collapsed="false"/>
    <row r="1500" customFormat="false" ht="12.75" hidden="false" customHeight="true" outlineLevel="0" collapsed="false"/>
    <row r="1501" customFormat="false" ht="12.75" hidden="false" customHeight="true" outlineLevel="0" collapsed="false"/>
    <row r="1502" customFormat="false" ht="12.75" hidden="false" customHeight="true" outlineLevel="0" collapsed="false"/>
    <row r="1503" customFormat="false" ht="12.75" hidden="false" customHeight="true" outlineLevel="0" collapsed="false"/>
    <row r="1504" customFormat="false" ht="12.75" hidden="false" customHeight="true" outlineLevel="0" collapsed="false"/>
    <row r="1505" customFormat="false" ht="12.75" hidden="false" customHeight="true" outlineLevel="0" collapsed="false"/>
    <row r="1506" customFormat="false" ht="12.75" hidden="false" customHeight="true" outlineLevel="0" collapsed="false"/>
    <row r="1507" customFormat="false" ht="12.75" hidden="false" customHeight="true" outlineLevel="0" collapsed="false"/>
    <row r="1508" customFormat="false" ht="12.75" hidden="false" customHeight="true" outlineLevel="0" collapsed="false"/>
    <row r="1509" customFormat="false" ht="12.75" hidden="false" customHeight="true" outlineLevel="0" collapsed="false"/>
    <row r="1510" customFormat="false" ht="12.75" hidden="false" customHeight="true" outlineLevel="0" collapsed="false"/>
    <row r="1511" customFormat="false" ht="12.75" hidden="false" customHeight="true" outlineLevel="0" collapsed="false"/>
    <row r="1512" customFormat="false" ht="12.75" hidden="false" customHeight="true" outlineLevel="0" collapsed="false"/>
    <row r="1513" customFormat="false" ht="12.75" hidden="false" customHeight="true" outlineLevel="0" collapsed="false"/>
    <row r="1514" customFormat="false" ht="12.75" hidden="false" customHeight="true" outlineLevel="0" collapsed="false"/>
    <row r="1515" customFormat="false" ht="12.75" hidden="false" customHeight="true" outlineLevel="0" collapsed="false"/>
    <row r="1516" customFormat="false" ht="12.75" hidden="false" customHeight="true" outlineLevel="0" collapsed="false"/>
    <row r="1517" customFormat="false" ht="12.75" hidden="false" customHeight="true" outlineLevel="0" collapsed="false"/>
    <row r="1518" customFormat="false" ht="12.75" hidden="false" customHeight="true" outlineLevel="0" collapsed="false"/>
    <row r="1519" customFormat="false" ht="12.75" hidden="false" customHeight="true" outlineLevel="0" collapsed="false"/>
    <row r="1520" customFormat="false" ht="12.75" hidden="false" customHeight="true" outlineLevel="0" collapsed="false"/>
    <row r="1521" customFormat="false" ht="12.75" hidden="false" customHeight="true" outlineLevel="0" collapsed="false"/>
    <row r="1522" customFormat="false" ht="12.75" hidden="false" customHeight="true" outlineLevel="0" collapsed="false"/>
    <row r="1523" customFormat="false" ht="12.75" hidden="false" customHeight="true" outlineLevel="0" collapsed="false"/>
    <row r="1524" customFormat="false" ht="12.75" hidden="false" customHeight="true" outlineLevel="0" collapsed="false"/>
    <row r="1525" customFormat="false" ht="12.75" hidden="false" customHeight="true" outlineLevel="0" collapsed="false"/>
    <row r="1526" customFormat="false" ht="12.75" hidden="false" customHeight="true" outlineLevel="0" collapsed="false"/>
    <row r="1527" customFormat="false" ht="12.75" hidden="false" customHeight="true" outlineLevel="0" collapsed="false"/>
    <row r="1528" customFormat="false" ht="12.75" hidden="false" customHeight="true" outlineLevel="0" collapsed="false"/>
    <row r="1529" customFormat="false" ht="12.75" hidden="false" customHeight="true" outlineLevel="0" collapsed="false"/>
    <row r="1530" customFormat="false" ht="12.75" hidden="false" customHeight="true" outlineLevel="0" collapsed="false"/>
    <row r="1531" customFormat="false" ht="12.75" hidden="false" customHeight="true" outlineLevel="0" collapsed="false"/>
    <row r="1532" customFormat="false" ht="12.75" hidden="false" customHeight="true" outlineLevel="0" collapsed="false"/>
    <row r="1533" customFormat="false" ht="12.75" hidden="false" customHeight="true" outlineLevel="0" collapsed="false"/>
    <row r="1534" customFormat="false" ht="12.75" hidden="false" customHeight="true" outlineLevel="0" collapsed="false"/>
    <row r="1535" customFormat="false" ht="12.75" hidden="false" customHeight="true" outlineLevel="0" collapsed="false"/>
    <row r="1536" customFormat="false" ht="12.75" hidden="false" customHeight="true" outlineLevel="0" collapsed="false"/>
    <row r="1537" customFormat="false" ht="12.75" hidden="false" customHeight="true" outlineLevel="0" collapsed="false"/>
    <row r="1538" customFormat="false" ht="12.75" hidden="false" customHeight="true" outlineLevel="0" collapsed="false"/>
    <row r="1539" customFormat="false" ht="12.75" hidden="false" customHeight="true" outlineLevel="0" collapsed="false"/>
    <row r="1540" customFormat="false" ht="12.75" hidden="false" customHeight="true" outlineLevel="0" collapsed="false"/>
    <row r="1541" customFormat="false" ht="12.75" hidden="false" customHeight="true" outlineLevel="0" collapsed="false"/>
    <row r="1542" customFormat="false" ht="12.75" hidden="false" customHeight="true" outlineLevel="0" collapsed="false"/>
    <row r="1543" customFormat="false" ht="12.75" hidden="false" customHeight="true" outlineLevel="0" collapsed="false"/>
    <row r="1544" customFormat="false" ht="12.75" hidden="false" customHeight="true" outlineLevel="0" collapsed="false"/>
    <row r="1545" customFormat="false" ht="12.75" hidden="false" customHeight="true" outlineLevel="0" collapsed="false"/>
    <row r="1546" customFormat="false" ht="12.75" hidden="false" customHeight="true" outlineLevel="0" collapsed="false"/>
    <row r="1547" customFormat="false" ht="12.75" hidden="false" customHeight="true" outlineLevel="0" collapsed="false"/>
    <row r="1548" customFormat="false" ht="12.75" hidden="false" customHeight="true" outlineLevel="0" collapsed="false"/>
    <row r="1549" customFormat="false" ht="12.75" hidden="false" customHeight="true" outlineLevel="0" collapsed="false"/>
    <row r="1550" customFormat="false" ht="12.75" hidden="false" customHeight="true" outlineLevel="0" collapsed="false"/>
    <row r="1551" customFormat="false" ht="12.75" hidden="false" customHeight="true" outlineLevel="0" collapsed="false"/>
    <row r="1552" customFormat="false" ht="12.75" hidden="false" customHeight="true" outlineLevel="0" collapsed="false"/>
    <row r="1553" customFormat="false" ht="12.75" hidden="false" customHeight="true" outlineLevel="0" collapsed="false"/>
    <row r="1554" customFormat="false" ht="12.75" hidden="false" customHeight="true" outlineLevel="0" collapsed="false"/>
    <row r="1555" customFormat="false" ht="12.75" hidden="false" customHeight="true" outlineLevel="0" collapsed="false"/>
    <row r="1556" customFormat="false" ht="12.75" hidden="false" customHeight="true" outlineLevel="0" collapsed="false"/>
    <row r="1557" customFormat="false" ht="12.75" hidden="false" customHeight="true" outlineLevel="0" collapsed="false"/>
    <row r="1558" customFormat="false" ht="12.75" hidden="false" customHeight="true" outlineLevel="0" collapsed="false"/>
    <row r="1559" customFormat="false" ht="12.75" hidden="false" customHeight="true" outlineLevel="0" collapsed="false"/>
    <row r="1560" customFormat="false" ht="12.75" hidden="false" customHeight="true" outlineLevel="0" collapsed="false"/>
    <row r="1561" customFormat="false" ht="12.75" hidden="false" customHeight="true" outlineLevel="0" collapsed="false"/>
    <row r="1562" customFormat="false" ht="12.75" hidden="false" customHeight="true" outlineLevel="0" collapsed="false"/>
    <row r="1563" customFormat="false" ht="12.75" hidden="false" customHeight="true" outlineLevel="0" collapsed="false"/>
    <row r="1564" customFormat="false" ht="12.75" hidden="false" customHeight="true" outlineLevel="0" collapsed="false"/>
    <row r="1565" customFormat="false" ht="12.75" hidden="false" customHeight="true" outlineLevel="0" collapsed="false"/>
    <row r="1566" customFormat="false" ht="12.75" hidden="false" customHeight="true" outlineLevel="0" collapsed="false"/>
    <row r="1567" customFormat="false" ht="12.75" hidden="false" customHeight="true" outlineLevel="0" collapsed="false"/>
    <row r="1568" customFormat="false" ht="12.75" hidden="false" customHeight="true" outlineLevel="0" collapsed="false"/>
    <row r="1569" customFormat="false" ht="12.75" hidden="false" customHeight="true" outlineLevel="0" collapsed="false"/>
    <row r="1570" customFormat="false" ht="12.75" hidden="false" customHeight="true" outlineLevel="0" collapsed="false"/>
    <row r="1571" customFormat="false" ht="12.75" hidden="false" customHeight="true" outlineLevel="0" collapsed="false"/>
    <row r="1572" customFormat="false" ht="12.75" hidden="false" customHeight="true" outlineLevel="0" collapsed="false"/>
    <row r="1573" customFormat="false" ht="12.75" hidden="false" customHeight="true" outlineLevel="0" collapsed="false"/>
    <row r="1574" customFormat="false" ht="12.75" hidden="false" customHeight="true" outlineLevel="0" collapsed="false"/>
    <row r="1575" customFormat="false" ht="12.75" hidden="false" customHeight="true" outlineLevel="0" collapsed="false"/>
    <row r="1576" customFormat="false" ht="12.75" hidden="false" customHeight="true" outlineLevel="0" collapsed="false"/>
    <row r="1577" customFormat="false" ht="12.75" hidden="false" customHeight="true" outlineLevel="0" collapsed="false"/>
    <row r="1578" customFormat="false" ht="12.75" hidden="false" customHeight="true" outlineLevel="0" collapsed="false"/>
    <row r="1579" customFormat="false" ht="12.75" hidden="false" customHeight="true" outlineLevel="0" collapsed="false"/>
    <row r="1580" customFormat="false" ht="12.75" hidden="false" customHeight="true" outlineLevel="0" collapsed="false"/>
    <row r="1581" customFormat="false" ht="12.75" hidden="false" customHeight="true" outlineLevel="0" collapsed="false"/>
    <row r="1582" customFormat="false" ht="12.75" hidden="false" customHeight="true" outlineLevel="0" collapsed="false"/>
    <row r="1583" customFormat="false" ht="12.75" hidden="false" customHeight="true" outlineLevel="0" collapsed="false"/>
    <row r="1584" customFormat="false" ht="12.75" hidden="false" customHeight="true" outlineLevel="0" collapsed="false"/>
    <row r="1585" customFormat="false" ht="12.75" hidden="false" customHeight="true" outlineLevel="0" collapsed="false"/>
    <row r="1586" customFormat="false" ht="12.75" hidden="false" customHeight="true" outlineLevel="0" collapsed="false"/>
    <row r="1587" customFormat="false" ht="12.75" hidden="false" customHeight="true" outlineLevel="0" collapsed="false"/>
    <row r="1588" customFormat="false" ht="12.75" hidden="false" customHeight="true" outlineLevel="0" collapsed="false"/>
    <row r="1589" customFormat="false" ht="12.75" hidden="false" customHeight="true" outlineLevel="0" collapsed="false"/>
    <row r="1590" customFormat="false" ht="12.75" hidden="false" customHeight="true" outlineLevel="0" collapsed="false"/>
    <row r="1591" customFormat="false" ht="12.75" hidden="false" customHeight="true" outlineLevel="0" collapsed="false"/>
    <row r="1592" customFormat="false" ht="12.75" hidden="false" customHeight="true" outlineLevel="0" collapsed="false"/>
    <row r="1593" customFormat="false" ht="12.75" hidden="false" customHeight="true" outlineLevel="0" collapsed="false"/>
    <row r="1594" customFormat="false" ht="12.75" hidden="false" customHeight="true" outlineLevel="0" collapsed="false"/>
    <row r="1595" customFormat="false" ht="12.75" hidden="false" customHeight="true" outlineLevel="0" collapsed="false"/>
    <row r="1596" customFormat="false" ht="12.75" hidden="false" customHeight="true" outlineLevel="0" collapsed="false"/>
    <row r="1597" customFormat="false" ht="12.75" hidden="false" customHeight="true" outlineLevel="0" collapsed="false"/>
    <row r="1598" customFormat="false" ht="12.75" hidden="false" customHeight="true" outlineLevel="0" collapsed="false"/>
    <row r="1599" customFormat="false" ht="12.75" hidden="false" customHeight="true" outlineLevel="0" collapsed="false"/>
    <row r="1600" customFormat="false" ht="12.75" hidden="false" customHeight="true" outlineLevel="0" collapsed="false"/>
    <row r="1601" customFormat="false" ht="12.75" hidden="false" customHeight="true" outlineLevel="0" collapsed="false"/>
    <row r="1602" customFormat="false" ht="12.75" hidden="false" customHeight="true" outlineLevel="0" collapsed="false"/>
    <row r="1603" customFormat="false" ht="12.75" hidden="false" customHeight="true" outlineLevel="0" collapsed="false"/>
    <row r="1604" customFormat="false" ht="12.75" hidden="false" customHeight="true" outlineLevel="0" collapsed="false"/>
    <row r="1605" customFormat="false" ht="12.75" hidden="false" customHeight="true" outlineLevel="0" collapsed="false"/>
    <row r="1606" customFormat="false" ht="12.75" hidden="false" customHeight="true" outlineLevel="0" collapsed="false"/>
    <row r="1607" customFormat="false" ht="12.75" hidden="false" customHeight="true" outlineLevel="0" collapsed="false"/>
    <row r="1608" customFormat="false" ht="12.75" hidden="false" customHeight="true" outlineLevel="0" collapsed="false"/>
    <row r="1609" customFormat="false" ht="12.75" hidden="false" customHeight="true" outlineLevel="0" collapsed="false"/>
    <row r="1610" customFormat="false" ht="12.75" hidden="false" customHeight="true" outlineLevel="0" collapsed="false"/>
    <row r="1611" customFormat="false" ht="12.75" hidden="false" customHeight="true" outlineLevel="0" collapsed="false"/>
    <row r="1612" customFormat="false" ht="12.75" hidden="false" customHeight="true" outlineLevel="0" collapsed="false"/>
    <row r="1613" customFormat="false" ht="12.75" hidden="false" customHeight="true" outlineLevel="0" collapsed="false"/>
    <row r="1614" customFormat="false" ht="12.75" hidden="false" customHeight="true" outlineLevel="0" collapsed="false"/>
    <row r="1615" customFormat="false" ht="12.75" hidden="false" customHeight="true" outlineLevel="0" collapsed="false"/>
    <row r="1616" customFormat="false" ht="12.75" hidden="false" customHeight="true" outlineLevel="0" collapsed="false"/>
    <row r="1617" customFormat="false" ht="12.75" hidden="false" customHeight="true" outlineLevel="0" collapsed="false"/>
    <row r="1618" customFormat="false" ht="12.75" hidden="false" customHeight="true" outlineLevel="0" collapsed="false"/>
    <row r="1619" customFormat="false" ht="12.75" hidden="false" customHeight="true" outlineLevel="0" collapsed="false"/>
    <row r="1620" customFormat="false" ht="12.75" hidden="false" customHeight="true" outlineLevel="0" collapsed="false"/>
    <row r="1621" customFormat="false" ht="12.75" hidden="false" customHeight="true" outlineLevel="0" collapsed="false"/>
    <row r="1622" customFormat="false" ht="12.75" hidden="false" customHeight="true" outlineLevel="0" collapsed="false"/>
    <row r="1623" customFormat="false" ht="12.75" hidden="false" customHeight="true" outlineLevel="0" collapsed="false"/>
    <row r="1624" customFormat="false" ht="12.75" hidden="false" customHeight="true" outlineLevel="0" collapsed="false"/>
    <row r="1625" customFormat="false" ht="12.75" hidden="false" customHeight="true" outlineLevel="0" collapsed="false"/>
    <row r="1626" customFormat="false" ht="12.75" hidden="false" customHeight="true" outlineLevel="0" collapsed="false"/>
    <row r="1627" customFormat="false" ht="12.75" hidden="false" customHeight="true" outlineLevel="0" collapsed="false"/>
    <row r="1628" customFormat="false" ht="12.75" hidden="false" customHeight="true" outlineLevel="0" collapsed="false"/>
    <row r="1629" customFormat="false" ht="12.75" hidden="false" customHeight="true" outlineLevel="0" collapsed="false"/>
    <row r="1630" customFormat="false" ht="12.75" hidden="false" customHeight="true" outlineLevel="0" collapsed="false"/>
    <row r="1631" customFormat="false" ht="12.75" hidden="false" customHeight="true" outlineLevel="0" collapsed="false"/>
    <row r="1632" customFormat="false" ht="12.75" hidden="false" customHeight="true" outlineLevel="0" collapsed="false"/>
    <row r="1633" customFormat="false" ht="12.75" hidden="false" customHeight="true" outlineLevel="0" collapsed="false"/>
    <row r="1634" customFormat="false" ht="12.75" hidden="false" customHeight="true" outlineLevel="0" collapsed="false"/>
    <row r="1635" customFormat="false" ht="12.75" hidden="false" customHeight="true" outlineLevel="0" collapsed="false"/>
    <row r="1636" customFormat="false" ht="12.75" hidden="false" customHeight="true" outlineLevel="0" collapsed="false"/>
    <row r="1637" customFormat="false" ht="12.75" hidden="false" customHeight="true" outlineLevel="0" collapsed="false"/>
    <row r="1638" customFormat="false" ht="12.75" hidden="false" customHeight="true" outlineLevel="0" collapsed="false"/>
    <row r="1639" customFormat="false" ht="12.75" hidden="false" customHeight="true" outlineLevel="0" collapsed="false"/>
    <row r="1640" customFormat="false" ht="12.75" hidden="false" customHeight="true" outlineLevel="0" collapsed="false"/>
    <row r="1641" customFormat="false" ht="12.75" hidden="false" customHeight="true" outlineLevel="0" collapsed="false"/>
    <row r="1642" customFormat="false" ht="12.75" hidden="false" customHeight="true" outlineLevel="0" collapsed="false"/>
    <row r="1643" customFormat="false" ht="12.75" hidden="false" customHeight="true" outlineLevel="0" collapsed="false"/>
    <row r="1644" customFormat="false" ht="12.75" hidden="false" customHeight="true" outlineLevel="0" collapsed="false"/>
    <row r="1645" customFormat="false" ht="12.75" hidden="false" customHeight="true" outlineLevel="0" collapsed="false"/>
    <row r="1646" customFormat="false" ht="12.75" hidden="false" customHeight="true" outlineLevel="0" collapsed="false"/>
    <row r="1647" customFormat="false" ht="12.75" hidden="false" customHeight="true" outlineLevel="0" collapsed="false"/>
    <row r="1648" customFormat="false" ht="12.75" hidden="false" customHeight="true" outlineLevel="0" collapsed="false"/>
    <row r="1649" customFormat="false" ht="12.75" hidden="false" customHeight="true" outlineLevel="0" collapsed="false"/>
    <row r="1650" customFormat="false" ht="12.75" hidden="false" customHeight="true" outlineLevel="0" collapsed="false"/>
    <row r="1651" customFormat="false" ht="12.75" hidden="false" customHeight="true" outlineLevel="0" collapsed="false"/>
    <row r="1652" customFormat="false" ht="12.75" hidden="false" customHeight="true" outlineLevel="0" collapsed="false"/>
    <row r="1653" customFormat="false" ht="12.75" hidden="false" customHeight="true" outlineLevel="0" collapsed="false"/>
    <row r="1654" customFormat="false" ht="12.75" hidden="false" customHeight="true" outlineLevel="0" collapsed="false"/>
    <row r="1655" customFormat="false" ht="12.75" hidden="false" customHeight="true" outlineLevel="0" collapsed="false"/>
    <row r="1656" customFormat="false" ht="12.75" hidden="false" customHeight="true" outlineLevel="0" collapsed="false"/>
    <row r="1657" customFormat="false" ht="12.75" hidden="false" customHeight="true" outlineLevel="0" collapsed="false"/>
    <row r="1658" customFormat="false" ht="12.75" hidden="false" customHeight="true" outlineLevel="0" collapsed="false"/>
    <row r="1659" customFormat="false" ht="12.75" hidden="false" customHeight="true" outlineLevel="0" collapsed="false"/>
    <row r="1660" customFormat="false" ht="12.75" hidden="false" customHeight="true" outlineLevel="0" collapsed="false"/>
    <row r="1661" customFormat="false" ht="12.75" hidden="false" customHeight="true" outlineLevel="0" collapsed="false"/>
    <row r="1662" customFormat="false" ht="12.75" hidden="false" customHeight="true" outlineLevel="0" collapsed="false"/>
    <row r="1663" customFormat="false" ht="12.75" hidden="false" customHeight="true" outlineLevel="0" collapsed="false"/>
    <row r="1664" customFormat="false" ht="12.75" hidden="false" customHeight="true" outlineLevel="0" collapsed="false"/>
    <row r="1665" customFormat="false" ht="12.75" hidden="false" customHeight="true" outlineLevel="0" collapsed="false"/>
    <row r="1666" customFormat="false" ht="12.75" hidden="false" customHeight="true" outlineLevel="0" collapsed="false"/>
    <row r="1667" customFormat="false" ht="12.75" hidden="false" customHeight="true" outlineLevel="0" collapsed="false"/>
    <row r="1668" customFormat="false" ht="12.75" hidden="false" customHeight="true" outlineLevel="0" collapsed="false"/>
    <row r="1669" customFormat="false" ht="12.75" hidden="false" customHeight="true" outlineLevel="0" collapsed="false"/>
    <row r="1670" customFormat="false" ht="12.75" hidden="false" customHeight="true" outlineLevel="0" collapsed="false"/>
    <row r="1671" customFormat="false" ht="12.75" hidden="false" customHeight="true" outlineLevel="0" collapsed="false"/>
    <row r="1672" customFormat="false" ht="12.75" hidden="false" customHeight="true" outlineLevel="0" collapsed="false"/>
    <row r="1673" customFormat="false" ht="12.75" hidden="false" customHeight="true" outlineLevel="0" collapsed="false"/>
    <row r="1674" customFormat="false" ht="12.75" hidden="false" customHeight="true" outlineLevel="0" collapsed="false"/>
    <row r="1675" customFormat="false" ht="12.75" hidden="false" customHeight="true" outlineLevel="0" collapsed="false"/>
    <row r="1676" customFormat="false" ht="12.75" hidden="false" customHeight="true" outlineLevel="0" collapsed="false"/>
    <row r="1677" customFormat="false" ht="12.75" hidden="false" customHeight="true" outlineLevel="0" collapsed="false"/>
    <row r="1678" customFormat="false" ht="12.75" hidden="false" customHeight="true" outlineLevel="0" collapsed="false"/>
    <row r="1679" customFormat="false" ht="12.75" hidden="false" customHeight="true" outlineLevel="0" collapsed="false"/>
    <row r="1680" customFormat="false" ht="12.75" hidden="false" customHeight="true" outlineLevel="0" collapsed="false"/>
    <row r="1681" customFormat="false" ht="12.75" hidden="false" customHeight="true" outlineLevel="0" collapsed="false"/>
    <row r="1682" customFormat="false" ht="12.75" hidden="false" customHeight="true" outlineLevel="0" collapsed="false"/>
    <row r="1683" customFormat="false" ht="12.75" hidden="false" customHeight="true" outlineLevel="0" collapsed="false"/>
    <row r="1684" customFormat="false" ht="12.75" hidden="false" customHeight="true" outlineLevel="0" collapsed="false"/>
    <row r="1685" customFormat="false" ht="12.75" hidden="false" customHeight="true" outlineLevel="0" collapsed="false"/>
    <row r="1686" customFormat="false" ht="12.75" hidden="false" customHeight="true" outlineLevel="0" collapsed="false"/>
    <row r="1687" customFormat="false" ht="12.75" hidden="false" customHeight="true" outlineLevel="0" collapsed="false"/>
    <row r="1688" customFormat="false" ht="12.75" hidden="false" customHeight="true" outlineLevel="0" collapsed="false"/>
    <row r="1689" customFormat="false" ht="12.75" hidden="false" customHeight="true" outlineLevel="0" collapsed="false"/>
    <row r="1690" customFormat="false" ht="12.75" hidden="false" customHeight="true" outlineLevel="0" collapsed="false"/>
    <row r="1691" customFormat="false" ht="12.75" hidden="false" customHeight="true" outlineLevel="0" collapsed="false"/>
    <row r="1692" customFormat="false" ht="12.75" hidden="false" customHeight="true" outlineLevel="0" collapsed="false"/>
    <row r="1693" customFormat="false" ht="12.75" hidden="false" customHeight="true" outlineLevel="0" collapsed="false"/>
    <row r="1694" customFormat="false" ht="12.75" hidden="false" customHeight="true" outlineLevel="0" collapsed="false"/>
    <row r="1695" customFormat="false" ht="12.75" hidden="false" customHeight="true" outlineLevel="0" collapsed="false"/>
    <row r="1696" customFormat="false" ht="12.75" hidden="false" customHeight="true" outlineLevel="0" collapsed="false"/>
    <row r="1697" customFormat="false" ht="12.75" hidden="false" customHeight="true" outlineLevel="0" collapsed="false"/>
    <row r="1698" customFormat="false" ht="12.75" hidden="false" customHeight="true" outlineLevel="0" collapsed="false"/>
    <row r="1699" customFormat="false" ht="12.75" hidden="false" customHeight="true" outlineLevel="0" collapsed="false"/>
    <row r="1700" customFormat="false" ht="12.75" hidden="false" customHeight="true" outlineLevel="0" collapsed="false"/>
    <row r="1701" customFormat="false" ht="12.75" hidden="false" customHeight="true" outlineLevel="0" collapsed="false"/>
    <row r="1702" customFormat="false" ht="12.75" hidden="false" customHeight="true" outlineLevel="0" collapsed="false"/>
    <row r="1703" customFormat="false" ht="12.75" hidden="false" customHeight="true" outlineLevel="0" collapsed="false"/>
    <row r="1704" customFormat="false" ht="12.75" hidden="false" customHeight="true" outlineLevel="0" collapsed="false"/>
    <row r="1705" customFormat="false" ht="12.75" hidden="false" customHeight="true" outlineLevel="0" collapsed="false"/>
    <row r="1706" customFormat="false" ht="12.75" hidden="false" customHeight="true" outlineLevel="0" collapsed="false"/>
    <row r="1707" customFormat="false" ht="12.75" hidden="false" customHeight="true" outlineLevel="0" collapsed="false"/>
    <row r="1708" customFormat="false" ht="12.75" hidden="false" customHeight="true" outlineLevel="0" collapsed="false"/>
    <row r="1709" customFormat="false" ht="12.75" hidden="false" customHeight="true" outlineLevel="0" collapsed="false"/>
    <row r="1710" customFormat="false" ht="12.75" hidden="false" customHeight="true" outlineLevel="0" collapsed="false"/>
    <row r="1711" customFormat="false" ht="12.75" hidden="false" customHeight="true" outlineLevel="0" collapsed="false"/>
    <row r="1712" customFormat="false" ht="12.75" hidden="false" customHeight="true" outlineLevel="0" collapsed="false"/>
    <row r="1713" customFormat="false" ht="12.75" hidden="false" customHeight="true" outlineLevel="0" collapsed="false"/>
    <row r="1714" customFormat="false" ht="12.75" hidden="false" customHeight="true" outlineLevel="0" collapsed="false"/>
    <row r="1715" customFormat="false" ht="12.75" hidden="false" customHeight="true" outlineLevel="0" collapsed="false"/>
    <row r="1716" customFormat="false" ht="12.75" hidden="false" customHeight="true" outlineLevel="0" collapsed="false"/>
    <row r="1717" customFormat="false" ht="12.75" hidden="false" customHeight="true" outlineLevel="0" collapsed="false"/>
    <row r="1718" customFormat="false" ht="12.75" hidden="false" customHeight="true" outlineLevel="0" collapsed="false"/>
    <row r="1719" customFormat="false" ht="12.75" hidden="false" customHeight="true" outlineLevel="0" collapsed="false"/>
    <row r="1720" customFormat="false" ht="12.75" hidden="false" customHeight="true" outlineLevel="0" collapsed="false"/>
    <row r="1721" customFormat="false" ht="12.75" hidden="false" customHeight="true" outlineLevel="0" collapsed="false"/>
    <row r="1722" customFormat="false" ht="12.75" hidden="false" customHeight="true" outlineLevel="0" collapsed="false"/>
    <row r="1723" customFormat="false" ht="12.75" hidden="false" customHeight="true" outlineLevel="0" collapsed="false"/>
    <row r="1724" customFormat="false" ht="12.75" hidden="false" customHeight="true" outlineLevel="0" collapsed="false"/>
    <row r="1725" customFormat="false" ht="12.75" hidden="false" customHeight="true" outlineLevel="0" collapsed="false"/>
    <row r="1726" customFormat="false" ht="12.75" hidden="false" customHeight="true" outlineLevel="0" collapsed="false"/>
    <row r="1727" customFormat="false" ht="12.75" hidden="false" customHeight="true" outlineLevel="0" collapsed="false"/>
    <row r="1728" customFormat="false" ht="12.75" hidden="false" customHeight="true" outlineLevel="0" collapsed="false"/>
    <row r="1729" customFormat="false" ht="12.75" hidden="false" customHeight="true" outlineLevel="0" collapsed="false"/>
    <row r="1730" customFormat="false" ht="12.75" hidden="false" customHeight="true" outlineLevel="0" collapsed="false"/>
    <row r="1731" customFormat="false" ht="12.75" hidden="false" customHeight="true" outlineLevel="0" collapsed="false"/>
    <row r="1732" customFormat="false" ht="12.75" hidden="false" customHeight="true" outlineLevel="0" collapsed="false"/>
    <row r="1733" customFormat="false" ht="12.75" hidden="false" customHeight="true" outlineLevel="0" collapsed="false"/>
    <row r="1734" customFormat="false" ht="12.75" hidden="false" customHeight="true" outlineLevel="0" collapsed="false"/>
    <row r="1735" customFormat="false" ht="12.75" hidden="false" customHeight="true" outlineLevel="0" collapsed="false"/>
    <row r="1736" customFormat="false" ht="12.75" hidden="false" customHeight="true" outlineLevel="0" collapsed="false"/>
    <row r="1737" customFormat="false" ht="12.75" hidden="false" customHeight="true" outlineLevel="0" collapsed="false"/>
    <row r="1738" customFormat="false" ht="12.75" hidden="false" customHeight="true" outlineLevel="0" collapsed="false"/>
    <row r="1739" customFormat="false" ht="12.75" hidden="false" customHeight="true" outlineLevel="0" collapsed="false"/>
    <row r="1740" customFormat="false" ht="12.75" hidden="false" customHeight="true" outlineLevel="0" collapsed="false"/>
    <row r="1741" customFormat="false" ht="12.75" hidden="false" customHeight="true" outlineLevel="0" collapsed="false"/>
    <row r="1742" customFormat="false" ht="12.75" hidden="false" customHeight="true" outlineLevel="0" collapsed="false"/>
    <row r="1743" customFormat="false" ht="12.75" hidden="false" customHeight="true" outlineLevel="0" collapsed="false"/>
    <row r="1744" customFormat="false" ht="12.75" hidden="false" customHeight="true" outlineLevel="0" collapsed="false"/>
    <row r="1745" customFormat="false" ht="12.75" hidden="false" customHeight="true" outlineLevel="0" collapsed="false"/>
    <row r="1746" customFormat="false" ht="12.75" hidden="false" customHeight="true" outlineLevel="0" collapsed="false"/>
    <row r="1747" customFormat="false" ht="12.75" hidden="false" customHeight="true" outlineLevel="0" collapsed="false"/>
    <row r="1748" customFormat="false" ht="12.75" hidden="false" customHeight="true" outlineLevel="0" collapsed="false"/>
    <row r="1749" customFormat="false" ht="12.75" hidden="false" customHeight="true" outlineLevel="0" collapsed="false"/>
    <row r="1750" customFormat="false" ht="12.75" hidden="false" customHeight="true" outlineLevel="0" collapsed="false"/>
    <row r="1751" customFormat="false" ht="12.75" hidden="false" customHeight="true" outlineLevel="0" collapsed="false"/>
    <row r="1752" customFormat="false" ht="12.75" hidden="false" customHeight="true" outlineLevel="0" collapsed="false"/>
    <row r="1753" customFormat="false" ht="12.75" hidden="false" customHeight="true" outlineLevel="0" collapsed="false"/>
    <row r="1754" customFormat="false" ht="12.75" hidden="false" customHeight="true" outlineLevel="0" collapsed="false"/>
    <row r="1755" customFormat="false" ht="12.75" hidden="false" customHeight="true" outlineLevel="0" collapsed="false"/>
    <row r="1756" customFormat="false" ht="12.75" hidden="false" customHeight="true" outlineLevel="0" collapsed="false"/>
    <row r="1757" customFormat="false" ht="12.75" hidden="false" customHeight="true" outlineLevel="0" collapsed="false"/>
    <row r="1758" customFormat="false" ht="12.75" hidden="false" customHeight="true" outlineLevel="0" collapsed="false"/>
    <row r="1759" customFormat="false" ht="12.75" hidden="false" customHeight="true" outlineLevel="0" collapsed="false"/>
    <row r="1760" customFormat="false" ht="12.75" hidden="false" customHeight="true" outlineLevel="0" collapsed="false"/>
    <row r="1761" customFormat="false" ht="12.75" hidden="false" customHeight="true" outlineLevel="0" collapsed="false"/>
    <row r="1762" customFormat="false" ht="12.75" hidden="false" customHeight="true" outlineLevel="0" collapsed="false"/>
    <row r="1763" customFormat="false" ht="12.75" hidden="false" customHeight="true" outlineLevel="0" collapsed="false"/>
    <row r="1764" customFormat="false" ht="12.75" hidden="false" customHeight="true" outlineLevel="0" collapsed="false"/>
    <row r="1765" customFormat="false" ht="12.75" hidden="false" customHeight="true" outlineLevel="0" collapsed="false"/>
    <row r="1766" customFormat="false" ht="12.75" hidden="false" customHeight="true" outlineLevel="0" collapsed="false"/>
    <row r="1767" customFormat="false" ht="12.75" hidden="false" customHeight="true" outlineLevel="0" collapsed="false"/>
    <row r="1768" customFormat="false" ht="12.75" hidden="false" customHeight="true" outlineLevel="0" collapsed="false"/>
    <row r="1769" customFormat="false" ht="12.75" hidden="false" customHeight="true" outlineLevel="0" collapsed="false"/>
    <row r="1770" customFormat="false" ht="12.75" hidden="false" customHeight="true" outlineLevel="0" collapsed="false"/>
    <row r="1771" customFormat="false" ht="12.75" hidden="false" customHeight="true" outlineLevel="0" collapsed="false"/>
    <row r="1772" customFormat="false" ht="12.75" hidden="false" customHeight="true" outlineLevel="0" collapsed="false"/>
    <row r="1773" customFormat="false" ht="12.75" hidden="false" customHeight="true" outlineLevel="0" collapsed="false"/>
    <row r="1774" customFormat="false" ht="12.75" hidden="false" customHeight="true" outlineLevel="0" collapsed="false"/>
    <row r="1775" customFormat="false" ht="12.75" hidden="false" customHeight="true" outlineLevel="0" collapsed="false"/>
    <row r="1776" customFormat="false" ht="12.75" hidden="false" customHeight="true" outlineLevel="0" collapsed="false"/>
    <row r="1777" customFormat="false" ht="12.75" hidden="false" customHeight="true" outlineLevel="0" collapsed="false"/>
    <row r="1778" customFormat="false" ht="12.75" hidden="false" customHeight="true" outlineLevel="0" collapsed="false"/>
    <row r="1779" customFormat="false" ht="12.75" hidden="false" customHeight="true" outlineLevel="0" collapsed="false"/>
    <row r="1780" customFormat="false" ht="12.75" hidden="false" customHeight="true" outlineLevel="0" collapsed="false"/>
    <row r="1781" customFormat="false" ht="12.75" hidden="false" customHeight="true" outlineLevel="0" collapsed="false"/>
    <row r="1782" customFormat="false" ht="12.75" hidden="false" customHeight="true" outlineLevel="0" collapsed="false"/>
    <row r="1783" customFormat="false" ht="12.75" hidden="false" customHeight="true" outlineLevel="0" collapsed="false"/>
    <row r="1784" customFormat="false" ht="12.75" hidden="false" customHeight="true" outlineLevel="0" collapsed="false"/>
    <row r="1785" customFormat="false" ht="12.75" hidden="false" customHeight="true" outlineLevel="0" collapsed="false"/>
    <row r="1786" customFormat="false" ht="12.75" hidden="false" customHeight="true" outlineLevel="0" collapsed="false"/>
    <row r="1787" customFormat="false" ht="12.75" hidden="false" customHeight="true" outlineLevel="0" collapsed="false"/>
    <row r="1788" customFormat="false" ht="12.75" hidden="false" customHeight="true" outlineLevel="0" collapsed="false"/>
    <row r="1789" customFormat="false" ht="12.75" hidden="false" customHeight="true" outlineLevel="0" collapsed="false"/>
    <row r="1790" customFormat="false" ht="12.75" hidden="false" customHeight="true" outlineLevel="0" collapsed="false"/>
    <row r="1791" customFormat="false" ht="12.75" hidden="false" customHeight="true" outlineLevel="0" collapsed="false"/>
    <row r="1792" customFormat="false" ht="12.75" hidden="false" customHeight="true" outlineLevel="0" collapsed="false"/>
    <row r="1793" customFormat="false" ht="12.75" hidden="false" customHeight="true" outlineLevel="0" collapsed="false"/>
    <row r="1794" customFormat="false" ht="12.75" hidden="false" customHeight="true" outlineLevel="0" collapsed="false"/>
    <row r="1795" customFormat="false" ht="12.75" hidden="false" customHeight="true" outlineLevel="0" collapsed="false"/>
    <row r="1796" customFormat="false" ht="12.75" hidden="false" customHeight="true" outlineLevel="0" collapsed="false"/>
    <row r="1797" customFormat="false" ht="12.75" hidden="false" customHeight="true" outlineLevel="0" collapsed="false"/>
    <row r="1798" customFormat="false" ht="12.75" hidden="false" customHeight="true" outlineLevel="0" collapsed="false"/>
    <row r="1799" customFormat="false" ht="12.75" hidden="false" customHeight="true" outlineLevel="0" collapsed="false"/>
    <row r="1800" customFormat="false" ht="12.75" hidden="false" customHeight="true" outlineLevel="0" collapsed="false"/>
    <row r="1801" customFormat="false" ht="12.75" hidden="false" customHeight="true" outlineLevel="0" collapsed="false"/>
    <row r="1802" customFormat="false" ht="12.75" hidden="false" customHeight="true" outlineLevel="0" collapsed="false"/>
    <row r="1803" customFormat="false" ht="12.75" hidden="false" customHeight="true" outlineLevel="0" collapsed="false"/>
    <row r="1804" customFormat="false" ht="12.75" hidden="false" customHeight="true" outlineLevel="0" collapsed="false"/>
    <row r="1805" customFormat="false" ht="12.75" hidden="false" customHeight="true" outlineLevel="0" collapsed="false"/>
    <row r="1806" customFormat="false" ht="12.75" hidden="false" customHeight="true" outlineLevel="0" collapsed="false"/>
    <row r="1807" customFormat="false" ht="12.75" hidden="false" customHeight="true" outlineLevel="0" collapsed="false"/>
    <row r="1808" customFormat="false" ht="12.75" hidden="false" customHeight="true" outlineLevel="0" collapsed="false"/>
    <row r="1809" customFormat="false" ht="12.75" hidden="false" customHeight="true" outlineLevel="0" collapsed="false"/>
    <row r="1810" customFormat="false" ht="12.75" hidden="false" customHeight="true" outlineLevel="0" collapsed="false"/>
    <row r="1811" customFormat="false" ht="12.75" hidden="false" customHeight="true" outlineLevel="0" collapsed="false"/>
    <row r="1812" customFormat="false" ht="12.75" hidden="false" customHeight="true" outlineLevel="0" collapsed="false"/>
    <row r="1813" customFormat="false" ht="12.75" hidden="false" customHeight="true" outlineLevel="0" collapsed="false"/>
    <row r="1814" customFormat="false" ht="12.75" hidden="false" customHeight="true" outlineLevel="0" collapsed="false"/>
    <row r="1815" customFormat="false" ht="12.75" hidden="false" customHeight="true" outlineLevel="0" collapsed="false"/>
    <row r="1816" customFormat="false" ht="12.75" hidden="false" customHeight="true" outlineLevel="0" collapsed="false"/>
    <row r="1817" customFormat="false" ht="12.75" hidden="false" customHeight="true" outlineLevel="0" collapsed="false"/>
    <row r="1818" customFormat="false" ht="12.75" hidden="false" customHeight="true" outlineLevel="0" collapsed="false"/>
    <row r="1819" customFormat="false" ht="12.75" hidden="false" customHeight="true" outlineLevel="0" collapsed="false"/>
    <row r="1820" customFormat="false" ht="12.75" hidden="false" customHeight="true" outlineLevel="0" collapsed="false"/>
    <row r="1821" customFormat="false" ht="12.75" hidden="false" customHeight="true" outlineLevel="0" collapsed="false"/>
    <row r="1822" customFormat="false" ht="12.75" hidden="false" customHeight="true" outlineLevel="0" collapsed="false"/>
    <row r="1823" customFormat="false" ht="12.75" hidden="false" customHeight="true" outlineLevel="0" collapsed="false"/>
    <row r="1824" customFormat="false" ht="12.75" hidden="false" customHeight="true" outlineLevel="0" collapsed="false"/>
    <row r="1825" customFormat="false" ht="12.75" hidden="false" customHeight="true" outlineLevel="0" collapsed="false"/>
    <row r="1826" customFormat="false" ht="12.75" hidden="false" customHeight="true" outlineLevel="0" collapsed="false"/>
    <row r="1827" customFormat="false" ht="12.75" hidden="false" customHeight="true" outlineLevel="0" collapsed="false"/>
    <row r="1828" customFormat="false" ht="12.75" hidden="false" customHeight="true" outlineLevel="0" collapsed="false"/>
    <row r="1829" customFormat="false" ht="12.75" hidden="false" customHeight="true" outlineLevel="0" collapsed="false"/>
    <row r="1830" customFormat="false" ht="12.75" hidden="false" customHeight="true" outlineLevel="0" collapsed="false"/>
    <row r="1831" customFormat="false" ht="12.75" hidden="false" customHeight="true" outlineLevel="0" collapsed="false"/>
    <row r="1832" customFormat="false" ht="12.75" hidden="false" customHeight="true" outlineLevel="0" collapsed="false"/>
    <row r="1833" customFormat="false" ht="12.75" hidden="false" customHeight="true" outlineLevel="0" collapsed="false"/>
    <row r="1834" customFormat="false" ht="12.75" hidden="false" customHeight="true" outlineLevel="0" collapsed="false"/>
    <row r="1835" customFormat="false" ht="12.75" hidden="false" customHeight="true" outlineLevel="0" collapsed="false"/>
    <row r="1836" customFormat="false" ht="12.75" hidden="false" customHeight="true" outlineLevel="0" collapsed="false"/>
    <row r="1837" customFormat="false" ht="12.75" hidden="false" customHeight="true" outlineLevel="0" collapsed="false"/>
    <row r="1838" customFormat="false" ht="12.75" hidden="false" customHeight="true" outlineLevel="0" collapsed="false"/>
    <row r="1839" customFormat="false" ht="12.75" hidden="false" customHeight="true" outlineLevel="0" collapsed="false"/>
    <row r="1840" customFormat="false" ht="12.75" hidden="false" customHeight="true" outlineLevel="0" collapsed="false"/>
    <row r="1841" customFormat="false" ht="12.75" hidden="false" customHeight="true" outlineLevel="0" collapsed="false"/>
    <row r="1842" customFormat="false" ht="12.75" hidden="false" customHeight="true" outlineLevel="0" collapsed="false"/>
    <row r="1843" customFormat="false" ht="12.75" hidden="false" customHeight="true" outlineLevel="0" collapsed="false"/>
    <row r="1844" customFormat="false" ht="12.75" hidden="false" customHeight="true" outlineLevel="0" collapsed="false"/>
    <row r="1845" customFormat="false" ht="12.75" hidden="false" customHeight="true" outlineLevel="0" collapsed="false"/>
    <row r="1846" customFormat="false" ht="12.75" hidden="false" customHeight="true" outlineLevel="0" collapsed="false"/>
    <row r="1847" customFormat="false" ht="12.75" hidden="false" customHeight="true" outlineLevel="0" collapsed="false"/>
    <row r="1848" customFormat="false" ht="12.75" hidden="false" customHeight="true" outlineLevel="0" collapsed="false"/>
    <row r="1849" customFormat="false" ht="12.75" hidden="false" customHeight="true" outlineLevel="0" collapsed="false"/>
    <row r="1850" customFormat="false" ht="12.75" hidden="false" customHeight="true" outlineLevel="0" collapsed="false"/>
    <row r="1851" customFormat="false" ht="12.75" hidden="false" customHeight="true" outlineLevel="0" collapsed="false"/>
    <row r="1852" customFormat="false" ht="12.75" hidden="false" customHeight="true" outlineLevel="0" collapsed="false"/>
    <row r="1853" customFormat="false" ht="12.75" hidden="false" customHeight="true" outlineLevel="0" collapsed="false"/>
    <row r="1854" customFormat="false" ht="12.75" hidden="false" customHeight="true" outlineLevel="0" collapsed="false"/>
    <row r="1855" customFormat="false" ht="12.75" hidden="false" customHeight="true" outlineLevel="0" collapsed="false"/>
    <row r="1856" customFormat="false" ht="12.75" hidden="false" customHeight="true" outlineLevel="0" collapsed="false"/>
    <row r="1857" customFormat="false" ht="12.75" hidden="false" customHeight="true" outlineLevel="0" collapsed="false"/>
    <row r="1858" customFormat="false" ht="12.75" hidden="false" customHeight="true" outlineLevel="0" collapsed="false"/>
    <row r="1859" customFormat="false" ht="12.75" hidden="false" customHeight="true" outlineLevel="0" collapsed="false"/>
    <row r="1860" customFormat="false" ht="12.75" hidden="false" customHeight="true" outlineLevel="0" collapsed="false"/>
    <row r="1861" customFormat="false" ht="12.75" hidden="false" customHeight="true" outlineLevel="0" collapsed="false"/>
    <row r="1862" customFormat="false" ht="12.75" hidden="false" customHeight="true" outlineLevel="0" collapsed="false"/>
    <row r="1863" customFormat="false" ht="12.75" hidden="false" customHeight="true" outlineLevel="0" collapsed="false"/>
    <row r="1864" customFormat="false" ht="12.75" hidden="false" customHeight="true" outlineLevel="0" collapsed="false"/>
    <row r="1865" customFormat="false" ht="12.75" hidden="false" customHeight="true" outlineLevel="0" collapsed="false"/>
    <row r="1866" customFormat="false" ht="12.75" hidden="false" customHeight="true" outlineLevel="0" collapsed="false"/>
    <row r="1867" customFormat="false" ht="12.75" hidden="false" customHeight="true" outlineLevel="0" collapsed="false"/>
    <row r="1868" customFormat="false" ht="12.75" hidden="false" customHeight="true" outlineLevel="0" collapsed="false"/>
    <row r="1869" customFormat="false" ht="12.75" hidden="false" customHeight="true" outlineLevel="0" collapsed="false"/>
    <row r="1870" customFormat="false" ht="12.75" hidden="false" customHeight="true" outlineLevel="0" collapsed="false"/>
    <row r="1871" customFormat="false" ht="12.75" hidden="false" customHeight="true" outlineLevel="0" collapsed="false"/>
    <row r="1872" customFormat="false" ht="12.75" hidden="false" customHeight="true" outlineLevel="0" collapsed="false"/>
    <row r="1873" customFormat="false" ht="12.75" hidden="false" customHeight="true" outlineLevel="0" collapsed="false"/>
    <row r="1874" customFormat="false" ht="12.75" hidden="false" customHeight="true" outlineLevel="0" collapsed="false"/>
    <row r="1875" customFormat="false" ht="12.75" hidden="false" customHeight="true" outlineLevel="0" collapsed="false"/>
    <row r="1876" customFormat="false" ht="12.75" hidden="false" customHeight="true" outlineLevel="0" collapsed="false"/>
    <row r="1877" customFormat="false" ht="12.75" hidden="false" customHeight="true" outlineLevel="0" collapsed="false"/>
    <row r="1878" customFormat="false" ht="12.75" hidden="false" customHeight="true" outlineLevel="0" collapsed="false"/>
    <row r="1879" customFormat="false" ht="12.75" hidden="false" customHeight="true" outlineLevel="0" collapsed="false"/>
    <row r="1880" customFormat="false" ht="12.75" hidden="false" customHeight="true" outlineLevel="0" collapsed="false"/>
    <row r="1881" customFormat="false" ht="12.75" hidden="false" customHeight="true" outlineLevel="0" collapsed="false"/>
    <row r="1882" customFormat="false" ht="12.75" hidden="false" customHeight="true" outlineLevel="0" collapsed="false"/>
    <row r="1883" customFormat="false" ht="12.75" hidden="false" customHeight="true" outlineLevel="0" collapsed="false"/>
    <row r="1884" customFormat="false" ht="12.75" hidden="false" customHeight="true" outlineLevel="0" collapsed="false"/>
    <row r="1885" customFormat="false" ht="12.75" hidden="false" customHeight="true" outlineLevel="0" collapsed="false"/>
    <row r="1886" customFormat="false" ht="12.75" hidden="false" customHeight="true" outlineLevel="0" collapsed="false"/>
    <row r="1887" customFormat="false" ht="12.75" hidden="false" customHeight="true" outlineLevel="0" collapsed="false"/>
    <row r="1888" customFormat="false" ht="12.75" hidden="false" customHeight="true" outlineLevel="0" collapsed="false"/>
    <row r="1889" customFormat="false" ht="12.75" hidden="false" customHeight="true" outlineLevel="0" collapsed="false"/>
    <row r="1890" customFormat="false" ht="12.75" hidden="false" customHeight="true" outlineLevel="0" collapsed="false"/>
    <row r="1891" customFormat="false" ht="12.75" hidden="false" customHeight="true" outlineLevel="0" collapsed="false"/>
    <row r="1892" customFormat="false" ht="12.75" hidden="false" customHeight="true" outlineLevel="0" collapsed="false"/>
    <row r="1893" customFormat="false" ht="12.75" hidden="false" customHeight="true" outlineLevel="0" collapsed="false"/>
    <row r="1894" customFormat="false" ht="12.75" hidden="false" customHeight="true" outlineLevel="0" collapsed="false"/>
    <row r="1895" customFormat="false" ht="12.75" hidden="false" customHeight="true" outlineLevel="0" collapsed="false"/>
    <row r="1896" customFormat="false" ht="12.75" hidden="false" customHeight="true" outlineLevel="0" collapsed="false"/>
    <row r="1897" customFormat="false" ht="12.75" hidden="false" customHeight="true" outlineLevel="0" collapsed="false"/>
    <row r="1898" customFormat="false" ht="12.75" hidden="false" customHeight="true" outlineLevel="0" collapsed="false"/>
    <row r="1899" customFormat="false" ht="12.75" hidden="false" customHeight="true" outlineLevel="0" collapsed="false"/>
    <row r="1900" customFormat="false" ht="12.75" hidden="false" customHeight="true" outlineLevel="0" collapsed="false"/>
    <row r="1901" customFormat="false" ht="12.75" hidden="false" customHeight="true" outlineLevel="0" collapsed="false"/>
    <row r="1902" customFormat="false" ht="12.75" hidden="false" customHeight="true" outlineLevel="0" collapsed="false"/>
    <row r="1903" customFormat="false" ht="12.75" hidden="false" customHeight="true" outlineLevel="0" collapsed="false"/>
    <row r="1904" customFormat="false" ht="12.75" hidden="false" customHeight="true" outlineLevel="0" collapsed="false"/>
    <row r="1905" customFormat="false" ht="12.75" hidden="false" customHeight="true" outlineLevel="0" collapsed="false"/>
    <row r="1906" customFormat="false" ht="12.75" hidden="false" customHeight="true" outlineLevel="0" collapsed="false"/>
    <row r="1907" customFormat="false" ht="12.75" hidden="false" customHeight="true" outlineLevel="0" collapsed="false"/>
    <row r="1908" customFormat="false" ht="12.75" hidden="false" customHeight="true" outlineLevel="0" collapsed="false"/>
    <row r="1909" customFormat="false" ht="12.75" hidden="false" customHeight="true" outlineLevel="0" collapsed="false"/>
    <row r="1910" customFormat="false" ht="12.75" hidden="false" customHeight="true" outlineLevel="0" collapsed="false"/>
    <row r="1911" customFormat="false" ht="12.75" hidden="false" customHeight="true" outlineLevel="0" collapsed="false"/>
    <row r="1912" customFormat="false" ht="12.75" hidden="false" customHeight="true" outlineLevel="0" collapsed="false"/>
    <row r="1913" customFormat="false" ht="12.75" hidden="false" customHeight="true" outlineLevel="0" collapsed="false"/>
    <row r="1914" customFormat="false" ht="12.75" hidden="false" customHeight="true" outlineLevel="0" collapsed="false"/>
    <row r="1915" customFormat="false" ht="12.75" hidden="false" customHeight="true" outlineLevel="0" collapsed="false"/>
    <row r="1916" customFormat="false" ht="12.75" hidden="false" customHeight="true" outlineLevel="0" collapsed="false"/>
    <row r="1917" customFormat="false" ht="12.75" hidden="false" customHeight="true" outlineLevel="0" collapsed="false"/>
    <row r="1918" customFormat="false" ht="12.75" hidden="false" customHeight="true" outlineLevel="0" collapsed="false"/>
    <row r="1919" customFormat="false" ht="12.75" hidden="false" customHeight="true" outlineLevel="0" collapsed="false"/>
    <row r="1920" customFormat="false" ht="12.75" hidden="false" customHeight="true" outlineLevel="0" collapsed="false"/>
    <row r="1921" customFormat="false" ht="12.75" hidden="false" customHeight="true" outlineLevel="0" collapsed="false"/>
    <row r="1922" customFormat="false" ht="12.75" hidden="false" customHeight="true" outlineLevel="0" collapsed="false"/>
    <row r="1923" customFormat="false" ht="12.75" hidden="false" customHeight="true" outlineLevel="0" collapsed="false"/>
    <row r="1924" customFormat="false" ht="12.75" hidden="false" customHeight="true" outlineLevel="0" collapsed="false"/>
    <row r="1925" customFormat="false" ht="12.75" hidden="false" customHeight="true" outlineLevel="0" collapsed="false"/>
    <row r="1926" customFormat="false" ht="12.75" hidden="false" customHeight="true" outlineLevel="0" collapsed="false"/>
    <row r="1927" customFormat="false" ht="12.75" hidden="false" customHeight="true" outlineLevel="0" collapsed="false"/>
    <row r="1928" customFormat="false" ht="12.75" hidden="false" customHeight="true" outlineLevel="0" collapsed="false"/>
    <row r="1929" customFormat="false" ht="12.75" hidden="false" customHeight="true" outlineLevel="0" collapsed="false"/>
    <row r="1930" customFormat="false" ht="12.75" hidden="false" customHeight="true" outlineLevel="0" collapsed="false"/>
    <row r="1931" customFormat="false" ht="12.75" hidden="false" customHeight="true" outlineLevel="0" collapsed="false"/>
    <row r="1932" customFormat="false" ht="12.75" hidden="false" customHeight="true" outlineLevel="0" collapsed="false"/>
    <row r="1933" customFormat="false" ht="12.75" hidden="false" customHeight="true" outlineLevel="0" collapsed="false"/>
    <row r="1934" customFormat="false" ht="12.75" hidden="false" customHeight="true" outlineLevel="0" collapsed="false"/>
    <row r="1935" customFormat="false" ht="12.75" hidden="false" customHeight="true" outlineLevel="0" collapsed="false"/>
    <row r="1936" customFormat="false" ht="12.75" hidden="false" customHeight="true" outlineLevel="0" collapsed="false"/>
    <row r="1937" customFormat="false" ht="12.75" hidden="false" customHeight="true" outlineLevel="0" collapsed="false"/>
    <row r="1938" customFormat="false" ht="12.75" hidden="false" customHeight="true" outlineLevel="0" collapsed="false"/>
    <row r="1939" customFormat="false" ht="12.75" hidden="false" customHeight="true" outlineLevel="0" collapsed="false"/>
    <row r="1940" customFormat="false" ht="12.75" hidden="false" customHeight="true" outlineLevel="0" collapsed="false"/>
    <row r="1941" customFormat="false" ht="12.75" hidden="false" customHeight="true" outlineLevel="0" collapsed="false"/>
    <row r="1942" customFormat="false" ht="12.75" hidden="false" customHeight="true" outlineLevel="0" collapsed="false"/>
    <row r="1943" customFormat="false" ht="12.75" hidden="false" customHeight="true" outlineLevel="0" collapsed="false"/>
    <row r="1944" customFormat="false" ht="12.75" hidden="false" customHeight="true" outlineLevel="0" collapsed="false"/>
    <row r="1945" customFormat="false" ht="12.75" hidden="false" customHeight="true" outlineLevel="0" collapsed="false"/>
    <row r="1946" customFormat="false" ht="12.75" hidden="false" customHeight="true" outlineLevel="0" collapsed="false"/>
    <row r="1947" customFormat="false" ht="12.75" hidden="false" customHeight="true" outlineLevel="0" collapsed="false"/>
    <row r="1948" customFormat="false" ht="12.75" hidden="false" customHeight="true" outlineLevel="0" collapsed="false"/>
    <row r="1949" customFormat="false" ht="12.75" hidden="false" customHeight="true" outlineLevel="0" collapsed="false"/>
    <row r="1950" customFormat="false" ht="12.75" hidden="false" customHeight="true" outlineLevel="0" collapsed="false"/>
    <row r="1951" customFormat="false" ht="12.75" hidden="false" customHeight="true" outlineLevel="0" collapsed="false"/>
    <row r="1952" customFormat="false" ht="12.75" hidden="false" customHeight="true" outlineLevel="0" collapsed="false"/>
    <row r="1953" customFormat="false" ht="12.75" hidden="false" customHeight="true" outlineLevel="0" collapsed="false"/>
    <row r="1954" customFormat="false" ht="12.75" hidden="false" customHeight="true" outlineLevel="0" collapsed="false"/>
    <row r="1955" customFormat="false" ht="12.75" hidden="false" customHeight="true" outlineLevel="0" collapsed="false"/>
    <row r="1956" customFormat="false" ht="12.75" hidden="false" customHeight="true" outlineLevel="0" collapsed="false"/>
    <row r="1957" customFormat="false" ht="12.75" hidden="false" customHeight="true" outlineLevel="0" collapsed="false"/>
    <row r="1958" customFormat="false" ht="12.75" hidden="false" customHeight="true" outlineLevel="0" collapsed="false"/>
    <row r="1959" customFormat="false" ht="12.75" hidden="false" customHeight="true" outlineLevel="0" collapsed="false"/>
    <row r="1960" customFormat="false" ht="12.75" hidden="false" customHeight="true" outlineLevel="0" collapsed="false"/>
    <row r="1961" customFormat="false" ht="12.75" hidden="false" customHeight="true" outlineLevel="0" collapsed="false"/>
    <row r="1962" customFormat="false" ht="12.75" hidden="false" customHeight="true" outlineLevel="0" collapsed="false"/>
    <row r="1963" customFormat="false" ht="12.75" hidden="false" customHeight="true" outlineLevel="0" collapsed="false"/>
    <row r="1964" customFormat="false" ht="12.75" hidden="false" customHeight="true" outlineLevel="0" collapsed="false"/>
    <row r="1965" customFormat="false" ht="12.75" hidden="false" customHeight="true" outlineLevel="0" collapsed="false"/>
    <row r="1966" customFormat="false" ht="12.75" hidden="false" customHeight="true" outlineLevel="0" collapsed="false"/>
    <row r="1967" customFormat="false" ht="12.75" hidden="false" customHeight="true" outlineLevel="0" collapsed="false"/>
    <row r="1968" customFormat="false" ht="12.75" hidden="false" customHeight="true" outlineLevel="0" collapsed="false"/>
    <row r="1969" customFormat="false" ht="12.75" hidden="false" customHeight="true" outlineLevel="0" collapsed="false"/>
    <row r="1970" customFormat="false" ht="12.75" hidden="false" customHeight="true" outlineLevel="0" collapsed="false"/>
    <row r="1971" customFormat="false" ht="12.75" hidden="false" customHeight="true" outlineLevel="0" collapsed="false"/>
    <row r="1972" customFormat="false" ht="12.75" hidden="false" customHeight="true" outlineLevel="0" collapsed="false"/>
    <row r="1973" customFormat="false" ht="12.75" hidden="false" customHeight="true" outlineLevel="0" collapsed="false"/>
    <row r="1974" customFormat="false" ht="12.75" hidden="false" customHeight="true" outlineLevel="0" collapsed="false"/>
    <row r="1975" customFormat="false" ht="12.75" hidden="false" customHeight="true" outlineLevel="0" collapsed="false"/>
    <row r="1976" customFormat="false" ht="12.75" hidden="false" customHeight="true" outlineLevel="0" collapsed="false"/>
    <row r="1977" customFormat="false" ht="12.75" hidden="false" customHeight="true" outlineLevel="0" collapsed="false"/>
    <row r="1978" customFormat="false" ht="12.75" hidden="false" customHeight="true" outlineLevel="0" collapsed="false"/>
    <row r="1979" customFormat="false" ht="12.75" hidden="false" customHeight="true" outlineLevel="0" collapsed="false"/>
    <row r="1980" customFormat="false" ht="12.75" hidden="false" customHeight="true" outlineLevel="0" collapsed="false"/>
    <row r="1981" customFormat="false" ht="12.75" hidden="false" customHeight="true" outlineLevel="0" collapsed="false"/>
    <row r="1982" customFormat="false" ht="12.75" hidden="false" customHeight="true" outlineLevel="0" collapsed="false"/>
    <row r="1983" customFormat="false" ht="12.75" hidden="false" customHeight="true" outlineLevel="0" collapsed="false"/>
    <row r="1984" customFormat="false" ht="12.75" hidden="false" customHeight="true" outlineLevel="0" collapsed="false"/>
    <row r="1985" customFormat="false" ht="12.75" hidden="false" customHeight="true" outlineLevel="0" collapsed="false"/>
    <row r="1986" customFormat="false" ht="12.75" hidden="false" customHeight="true" outlineLevel="0" collapsed="false"/>
    <row r="1987" customFormat="false" ht="12.75" hidden="false" customHeight="true" outlineLevel="0" collapsed="false"/>
    <row r="1988" customFormat="false" ht="12.75" hidden="false" customHeight="true" outlineLevel="0" collapsed="false"/>
    <row r="1989" customFormat="false" ht="12.75" hidden="false" customHeight="true" outlineLevel="0" collapsed="false"/>
    <row r="1990" customFormat="false" ht="12.75" hidden="false" customHeight="true" outlineLevel="0" collapsed="false"/>
    <row r="1991" customFormat="false" ht="12.75" hidden="false" customHeight="true" outlineLevel="0" collapsed="false"/>
    <row r="1992" customFormat="false" ht="12.75" hidden="false" customHeight="true" outlineLevel="0" collapsed="false"/>
    <row r="1993" customFormat="false" ht="12.75" hidden="false" customHeight="true" outlineLevel="0" collapsed="false"/>
    <row r="1994" customFormat="false" ht="12.75" hidden="false" customHeight="true" outlineLevel="0" collapsed="false"/>
    <row r="1995" customFormat="false" ht="12.75" hidden="false" customHeight="true" outlineLevel="0" collapsed="false"/>
    <row r="1996" customFormat="false" ht="12.75" hidden="false" customHeight="true" outlineLevel="0" collapsed="false"/>
    <row r="1997" customFormat="false" ht="12.75" hidden="false" customHeight="true" outlineLevel="0" collapsed="false"/>
    <row r="1998" customFormat="false" ht="12.75" hidden="false" customHeight="true" outlineLevel="0" collapsed="false"/>
    <row r="1999" customFormat="false" ht="12.75" hidden="false" customHeight="true" outlineLevel="0" collapsed="false"/>
    <row r="2000" customFormat="false" ht="12.75" hidden="false" customHeight="true" outlineLevel="0" collapsed="false"/>
    <row r="2001" customFormat="false" ht="12.75" hidden="false" customHeight="true" outlineLevel="0" collapsed="false"/>
    <row r="2002" customFormat="false" ht="12.75" hidden="false" customHeight="true" outlineLevel="0" collapsed="false"/>
    <row r="2003" customFormat="false" ht="12.75" hidden="false" customHeight="true" outlineLevel="0" collapsed="false"/>
    <row r="2004" customFormat="false" ht="12.75" hidden="false" customHeight="true" outlineLevel="0" collapsed="false"/>
    <row r="2005" customFormat="false" ht="12.75" hidden="false" customHeight="true" outlineLevel="0" collapsed="false"/>
    <row r="2006" customFormat="false" ht="12.75" hidden="false" customHeight="true" outlineLevel="0" collapsed="false"/>
    <row r="2007" customFormat="false" ht="12.75" hidden="false" customHeight="true" outlineLevel="0" collapsed="false"/>
    <row r="2008" customFormat="false" ht="12.75" hidden="false" customHeight="true" outlineLevel="0" collapsed="false"/>
    <row r="2009" customFormat="false" ht="12.75" hidden="false" customHeight="true" outlineLevel="0" collapsed="false"/>
    <row r="2010" customFormat="false" ht="12.75" hidden="false" customHeight="true" outlineLevel="0" collapsed="false"/>
    <row r="2011" customFormat="false" ht="12.75" hidden="false" customHeight="true" outlineLevel="0" collapsed="false"/>
    <row r="2012" customFormat="false" ht="12.75" hidden="false" customHeight="true" outlineLevel="0" collapsed="false"/>
    <row r="2013" customFormat="false" ht="12.75" hidden="false" customHeight="true" outlineLevel="0" collapsed="false"/>
    <row r="2014" customFormat="false" ht="12.75" hidden="false" customHeight="true" outlineLevel="0" collapsed="false"/>
    <row r="2015" customFormat="false" ht="12.75" hidden="false" customHeight="true" outlineLevel="0" collapsed="false"/>
    <row r="2016" customFormat="false" ht="12.75" hidden="false" customHeight="true" outlineLevel="0" collapsed="false"/>
    <row r="2017" customFormat="false" ht="12.75" hidden="false" customHeight="true" outlineLevel="0" collapsed="false"/>
    <row r="2018" customFormat="false" ht="12.75" hidden="false" customHeight="true" outlineLevel="0" collapsed="false"/>
    <row r="2019" customFormat="false" ht="12.75" hidden="false" customHeight="true" outlineLevel="0" collapsed="false"/>
    <row r="2020" customFormat="false" ht="12.75" hidden="false" customHeight="true" outlineLevel="0" collapsed="false"/>
    <row r="2021" customFormat="false" ht="12.75" hidden="false" customHeight="true" outlineLevel="0" collapsed="false"/>
    <row r="2022" customFormat="false" ht="12.75" hidden="false" customHeight="true" outlineLevel="0" collapsed="false"/>
    <row r="2023" customFormat="false" ht="12.75" hidden="false" customHeight="true" outlineLevel="0" collapsed="false"/>
    <row r="2024" customFormat="false" ht="12.75" hidden="false" customHeight="true" outlineLevel="0" collapsed="false"/>
    <row r="2025" customFormat="false" ht="12.75" hidden="false" customHeight="true" outlineLevel="0" collapsed="false"/>
    <row r="2026" customFormat="false" ht="12.75" hidden="false" customHeight="true" outlineLevel="0" collapsed="false"/>
    <row r="2027" customFormat="false" ht="12.75" hidden="false" customHeight="true" outlineLevel="0" collapsed="false"/>
    <row r="2028" customFormat="false" ht="12.75" hidden="false" customHeight="true" outlineLevel="0" collapsed="false"/>
    <row r="2029" customFormat="false" ht="12.75" hidden="false" customHeight="true" outlineLevel="0" collapsed="false"/>
    <row r="2030" customFormat="false" ht="12.75" hidden="false" customHeight="true" outlineLevel="0" collapsed="false"/>
    <row r="2031" customFormat="false" ht="12.75" hidden="false" customHeight="true" outlineLevel="0" collapsed="false"/>
    <row r="2032" customFormat="false" ht="12.75" hidden="false" customHeight="true" outlineLevel="0" collapsed="false"/>
    <row r="2033" customFormat="false" ht="12.75" hidden="false" customHeight="true" outlineLevel="0" collapsed="false"/>
    <row r="2034" customFormat="false" ht="12.75" hidden="false" customHeight="true" outlineLevel="0" collapsed="false"/>
    <row r="2035" customFormat="false" ht="12.75" hidden="false" customHeight="true" outlineLevel="0" collapsed="false"/>
    <row r="2036" customFormat="false" ht="12.75" hidden="false" customHeight="true" outlineLevel="0" collapsed="false"/>
    <row r="2037" customFormat="false" ht="12.75" hidden="false" customHeight="true" outlineLevel="0" collapsed="false"/>
    <row r="2038" customFormat="false" ht="12.75" hidden="false" customHeight="true" outlineLevel="0" collapsed="false"/>
    <row r="2039" customFormat="false" ht="12.75" hidden="false" customHeight="true" outlineLevel="0" collapsed="false"/>
    <row r="2040" customFormat="false" ht="12.75" hidden="false" customHeight="true" outlineLevel="0" collapsed="false"/>
    <row r="2041" customFormat="false" ht="12.75" hidden="false" customHeight="true" outlineLevel="0" collapsed="false"/>
    <row r="2042" customFormat="false" ht="12.75" hidden="false" customHeight="true" outlineLevel="0" collapsed="false"/>
    <row r="2043" customFormat="false" ht="12.75" hidden="false" customHeight="true" outlineLevel="0" collapsed="false"/>
    <row r="2044" customFormat="false" ht="12.75" hidden="false" customHeight="true" outlineLevel="0" collapsed="false"/>
    <row r="2045" customFormat="false" ht="12.75" hidden="false" customHeight="true" outlineLevel="0" collapsed="false"/>
    <row r="2046" customFormat="false" ht="12.75" hidden="false" customHeight="true" outlineLevel="0" collapsed="false"/>
    <row r="2047" customFormat="false" ht="12.75" hidden="false" customHeight="true" outlineLevel="0" collapsed="false"/>
    <row r="2048" customFormat="false" ht="12.75" hidden="false" customHeight="true" outlineLevel="0" collapsed="false"/>
    <row r="2049" customFormat="false" ht="12.75" hidden="false" customHeight="true" outlineLevel="0" collapsed="false"/>
    <row r="2050" customFormat="false" ht="12.75" hidden="false" customHeight="true" outlineLevel="0" collapsed="false"/>
    <row r="2051" customFormat="false" ht="12.75" hidden="false" customHeight="true" outlineLevel="0" collapsed="false"/>
    <row r="2052" customFormat="false" ht="12.75" hidden="false" customHeight="true" outlineLevel="0" collapsed="false"/>
    <row r="2053" customFormat="false" ht="12.75" hidden="false" customHeight="true" outlineLevel="0" collapsed="false"/>
    <row r="2054" customFormat="false" ht="12.75" hidden="false" customHeight="true" outlineLevel="0" collapsed="false"/>
    <row r="2055" customFormat="false" ht="12.75" hidden="false" customHeight="true" outlineLevel="0" collapsed="false"/>
    <row r="2056" customFormat="false" ht="12.75" hidden="false" customHeight="true" outlineLevel="0" collapsed="false"/>
    <row r="2057" customFormat="false" ht="12.75" hidden="false" customHeight="true" outlineLevel="0" collapsed="false"/>
    <row r="2058" customFormat="false" ht="12.75" hidden="false" customHeight="true" outlineLevel="0" collapsed="false"/>
    <row r="2059" customFormat="false" ht="12.75" hidden="false" customHeight="true" outlineLevel="0" collapsed="false"/>
    <row r="2060" customFormat="false" ht="12.75" hidden="false" customHeight="true" outlineLevel="0" collapsed="false"/>
    <row r="2061" customFormat="false" ht="12.75" hidden="false" customHeight="true" outlineLevel="0" collapsed="false"/>
    <row r="2062" customFormat="false" ht="12.75" hidden="false" customHeight="true" outlineLevel="0" collapsed="false"/>
    <row r="2063" customFormat="false" ht="12.75" hidden="false" customHeight="true" outlineLevel="0" collapsed="false"/>
    <row r="2064" customFormat="false" ht="12.75" hidden="false" customHeight="true" outlineLevel="0" collapsed="false"/>
    <row r="2065" customFormat="false" ht="12.75" hidden="false" customHeight="true" outlineLevel="0" collapsed="false"/>
    <row r="2066" customFormat="false" ht="12.75" hidden="false" customHeight="true" outlineLevel="0" collapsed="false"/>
    <row r="2067" customFormat="false" ht="12.75" hidden="false" customHeight="true" outlineLevel="0" collapsed="false"/>
    <row r="2068" customFormat="false" ht="12.75" hidden="false" customHeight="true" outlineLevel="0" collapsed="false"/>
    <row r="2069" customFormat="false" ht="12.75" hidden="false" customHeight="true" outlineLevel="0" collapsed="false"/>
    <row r="2070" customFormat="false" ht="12.75" hidden="false" customHeight="true" outlineLevel="0" collapsed="false"/>
    <row r="2071" customFormat="false" ht="12.75" hidden="false" customHeight="true" outlineLevel="0" collapsed="false"/>
    <row r="2072" customFormat="false" ht="12.75" hidden="false" customHeight="true" outlineLevel="0" collapsed="false"/>
    <row r="2073" customFormat="false" ht="12.75" hidden="false" customHeight="true" outlineLevel="0" collapsed="false"/>
    <row r="2074" customFormat="false" ht="12.75" hidden="false" customHeight="true" outlineLevel="0" collapsed="false"/>
    <row r="2075" customFormat="false" ht="12.75" hidden="false" customHeight="true" outlineLevel="0" collapsed="false"/>
    <row r="2076" customFormat="false" ht="12.75" hidden="false" customHeight="true" outlineLevel="0" collapsed="false"/>
    <row r="2077" customFormat="false" ht="12.75" hidden="false" customHeight="true" outlineLevel="0" collapsed="false"/>
    <row r="2078" customFormat="false" ht="12.75" hidden="false" customHeight="true" outlineLevel="0" collapsed="false"/>
    <row r="2079" customFormat="false" ht="12.75" hidden="false" customHeight="true" outlineLevel="0" collapsed="false"/>
    <row r="2080" customFormat="false" ht="12.75" hidden="false" customHeight="true" outlineLevel="0" collapsed="false"/>
    <row r="2081" customFormat="false" ht="12.75" hidden="false" customHeight="true" outlineLevel="0" collapsed="false"/>
    <row r="2082" customFormat="false" ht="12.75" hidden="false" customHeight="true" outlineLevel="0" collapsed="false"/>
    <row r="2083" customFormat="false" ht="12.75" hidden="false" customHeight="true" outlineLevel="0" collapsed="false"/>
    <row r="2084" customFormat="false" ht="12.75" hidden="false" customHeight="true" outlineLevel="0" collapsed="false"/>
    <row r="2085" customFormat="false" ht="12.75" hidden="false" customHeight="true" outlineLevel="0" collapsed="false"/>
    <row r="2086" customFormat="false" ht="12.75" hidden="false" customHeight="true" outlineLevel="0" collapsed="false"/>
    <row r="2087" customFormat="false" ht="12.75" hidden="false" customHeight="true" outlineLevel="0" collapsed="false"/>
    <row r="2088" customFormat="false" ht="12.75" hidden="false" customHeight="true" outlineLevel="0" collapsed="false"/>
    <row r="2089" customFormat="false" ht="12.75" hidden="false" customHeight="true" outlineLevel="0" collapsed="false"/>
    <row r="2090" customFormat="false" ht="12.75" hidden="false" customHeight="true" outlineLevel="0" collapsed="false"/>
    <row r="2091" customFormat="false" ht="12.75" hidden="false" customHeight="true" outlineLevel="0" collapsed="false"/>
    <row r="2092" customFormat="false" ht="12.75" hidden="false" customHeight="true" outlineLevel="0" collapsed="false"/>
    <row r="2093" customFormat="false" ht="12.75" hidden="false" customHeight="true" outlineLevel="0" collapsed="false"/>
    <row r="2094" customFormat="false" ht="12.75" hidden="false" customHeight="true" outlineLevel="0" collapsed="false"/>
    <row r="2095" customFormat="false" ht="12.75" hidden="false" customHeight="true" outlineLevel="0" collapsed="false"/>
    <row r="2096" customFormat="false" ht="12.75" hidden="false" customHeight="true" outlineLevel="0" collapsed="false"/>
    <row r="2097" customFormat="false" ht="12.75" hidden="false" customHeight="true" outlineLevel="0" collapsed="false"/>
    <row r="2098" customFormat="false" ht="12.75" hidden="false" customHeight="true" outlineLevel="0" collapsed="false"/>
    <row r="2099" customFormat="false" ht="12.75" hidden="false" customHeight="true" outlineLevel="0" collapsed="false"/>
    <row r="2100" customFormat="false" ht="12.75" hidden="false" customHeight="true" outlineLevel="0" collapsed="false"/>
    <row r="2101" customFormat="false" ht="12.75" hidden="false" customHeight="true" outlineLevel="0" collapsed="false"/>
    <row r="2102" customFormat="false" ht="12.75" hidden="false" customHeight="true" outlineLevel="0" collapsed="false"/>
    <row r="2103" customFormat="false" ht="12.75" hidden="false" customHeight="true" outlineLevel="0" collapsed="false"/>
    <row r="2104" customFormat="false" ht="12.75" hidden="false" customHeight="true" outlineLevel="0" collapsed="false"/>
    <row r="2105" customFormat="false" ht="12.75" hidden="false" customHeight="true" outlineLevel="0" collapsed="false"/>
    <row r="2106" customFormat="false" ht="12.75" hidden="false" customHeight="true" outlineLevel="0" collapsed="false"/>
    <row r="2107" customFormat="false" ht="12.75" hidden="false" customHeight="true" outlineLevel="0" collapsed="false"/>
    <row r="2108" customFormat="false" ht="12.75" hidden="false" customHeight="true" outlineLevel="0" collapsed="false"/>
    <row r="2109" customFormat="false" ht="12.75" hidden="false" customHeight="true" outlineLevel="0" collapsed="false"/>
    <row r="2110" customFormat="false" ht="12.75" hidden="false" customHeight="true" outlineLevel="0" collapsed="false"/>
    <row r="2111" customFormat="false" ht="12.75" hidden="false" customHeight="true" outlineLevel="0" collapsed="false"/>
    <row r="2112" customFormat="false" ht="12.75" hidden="false" customHeight="true" outlineLevel="0" collapsed="false"/>
    <row r="2113" customFormat="false" ht="12.75" hidden="false" customHeight="true" outlineLevel="0" collapsed="false"/>
    <row r="2114" customFormat="false" ht="12.75" hidden="false" customHeight="true" outlineLevel="0" collapsed="false"/>
    <row r="2115" customFormat="false" ht="12.75" hidden="false" customHeight="true" outlineLevel="0" collapsed="false"/>
    <row r="2116" customFormat="false" ht="12.75" hidden="false" customHeight="true" outlineLevel="0" collapsed="false"/>
    <row r="2117" customFormat="false" ht="12.75" hidden="false" customHeight="true" outlineLevel="0" collapsed="false"/>
    <row r="2118" customFormat="false" ht="12.75" hidden="false" customHeight="true" outlineLevel="0" collapsed="false"/>
    <row r="2119" customFormat="false" ht="12.75" hidden="false" customHeight="true" outlineLevel="0" collapsed="false"/>
    <row r="2120" customFormat="false" ht="12.75" hidden="false" customHeight="true" outlineLevel="0" collapsed="false"/>
    <row r="2121" customFormat="false" ht="12.75" hidden="false" customHeight="true" outlineLevel="0" collapsed="false"/>
    <row r="2122" customFormat="false" ht="12.75" hidden="false" customHeight="true" outlineLevel="0" collapsed="false"/>
    <row r="2123" customFormat="false" ht="12.75" hidden="false" customHeight="true" outlineLevel="0" collapsed="false"/>
    <row r="2124" customFormat="false" ht="12.75" hidden="false" customHeight="true" outlineLevel="0" collapsed="false"/>
    <row r="2125" customFormat="false" ht="12.75" hidden="false" customHeight="true" outlineLevel="0" collapsed="false"/>
    <row r="2126" customFormat="false" ht="12.75" hidden="false" customHeight="true" outlineLevel="0" collapsed="false"/>
    <row r="2127" customFormat="false" ht="12.75" hidden="false" customHeight="true" outlineLevel="0" collapsed="false"/>
    <row r="2128" customFormat="false" ht="12.75" hidden="false" customHeight="true" outlineLevel="0" collapsed="false"/>
    <row r="2129" customFormat="false" ht="12.75" hidden="false" customHeight="true" outlineLevel="0" collapsed="false"/>
    <row r="2130" customFormat="false" ht="12.75" hidden="false" customHeight="true" outlineLevel="0" collapsed="false"/>
    <row r="2131" customFormat="false" ht="12.75" hidden="false" customHeight="true" outlineLevel="0" collapsed="false"/>
    <row r="2132" customFormat="false" ht="12.75" hidden="false" customHeight="true" outlineLevel="0" collapsed="false"/>
    <row r="2133" customFormat="false" ht="12.75" hidden="false" customHeight="true" outlineLevel="0" collapsed="false"/>
    <row r="2134" customFormat="false" ht="12.75" hidden="false" customHeight="true" outlineLevel="0" collapsed="false"/>
    <row r="2135" customFormat="false" ht="12.75" hidden="false" customHeight="true" outlineLevel="0" collapsed="false"/>
    <row r="2136" customFormat="false" ht="12.75" hidden="false" customHeight="true" outlineLevel="0" collapsed="false"/>
    <row r="2137" customFormat="false" ht="12.75" hidden="false" customHeight="true" outlineLevel="0" collapsed="false"/>
    <row r="2138" customFormat="false" ht="12.75" hidden="false" customHeight="true" outlineLevel="0" collapsed="false"/>
    <row r="2139" customFormat="false" ht="12.75" hidden="false" customHeight="true" outlineLevel="0" collapsed="false"/>
    <row r="2140" customFormat="false" ht="12.75" hidden="false" customHeight="true" outlineLevel="0" collapsed="false"/>
    <row r="2141" customFormat="false" ht="12.75" hidden="false" customHeight="true" outlineLevel="0" collapsed="false"/>
    <row r="2142" customFormat="false" ht="12.75" hidden="false" customHeight="true" outlineLevel="0" collapsed="false"/>
    <row r="2143" customFormat="false" ht="12.75" hidden="false" customHeight="true" outlineLevel="0" collapsed="false"/>
    <row r="2144" customFormat="false" ht="12.75" hidden="false" customHeight="true" outlineLevel="0" collapsed="false"/>
    <row r="2145" customFormat="false" ht="12.75" hidden="false" customHeight="true" outlineLevel="0" collapsed="false"/>
    <row r="2146" customFormat="false" ht="12.75" hidden="false" customHeight="true" outlineLevel="0" collapsed="false"/>
    <row r="2147" customFormat="false" ht="12.75" hidden="false" customHeight="true" outlineLevel="0" collapsed="false"/>
    <row r="2148" customFormat="false" ht="12.75" hidden="false" customHeight="true" outlineLevel="0" collapsed="false"/>
    <row r="2149" customFormat="false" ht="12.75" hidden="false" customHeight="true" outlineLevel="0" collapsed="false"/>
    <row r="2150" customFormat="false" ht="12.75" hidden="false" customHeight="true" outlineLevel="0" collapsed="false"/>
    <row r="2151" customFormat="false" ht="12.75" hidden="false" customHeight="true" outlineLevel="0" collapsed="false"/>
    <row r="2152" customFormat="false" ht="12.75" hidden="false" customHeight="true" outlineLevel="0" collapsed="false"/>
    <row r="2153" customFormat="false" ht="12.75" hidden="false" customHeight="true" outlineLevel="0" collapsed="false"/>
    <row r="2154" customFormat="false" ht="12.75" hidden="false" customHeight="true" outlineLevel="0" collapsed="false"/>
    <row r="2155" customFormat="false" ht="12.75" hidden="false" customHeight="true" outlineLevel="0" collapsed="false"/>
    <row r="2156" customFormat="false" ht="12.75" hidden="false" customHeight="true" outlineLevel="0" collapsed="false"/>
    <row r="2157" customFormat="false" ht="12.75" hidden="false" customHeight="true" outlineLevel="0" collapsed="false"/>
    <row r="2158" customFormat="false" ht="12.75" hidden="false" customHeight="true" outlineLevel="0" collapsed="false"/>
    <row r="2159" customFormat="false" ht="12.75" hidden="false" customHeight="true" outlineLevel="0" collapsed="false"/>
    <row r="2160" customFormat="false" ht="12.75" hidden="false" customHeight="true" outlineLevel="0" collapsed="false"/>
    <row r="2161" customFormat="false" ht="12.75" hidden="false" customHeight="true" outlineLevel="0" collapsed="false"/>
    <row r="2162" customFormat="false" ht="12.75" hidden="false" customHeight="true" outlineLevel="0" collapsed="false"/>
    <row r="2163" customFormat="false" ht="12.75" hidden="false" customHeight="true" outlineLevel="0" collapsed="false"/>
    <row r="2164" customFormat="false" ht="12.75" hidden="false" customHeight="true" outlineLevel="0" collapsed="false"/>
    <row r="2165" customFormat="false" ht="12.75" hidden="false" customHeight="true" outlineLevel="0" collapsed="false"/>
    <row r="2166" customFormat="false" ht="12.75" hidden="false" customHeight="true" outlineLevel="0" collapsed="false"/>
    <row r="2167" customFormat="false" ht="12.75" hidden="false" customHeight="true" outlineLevel="0" collapsed="false"/>
    <row r="2168" customFormat="false" ht="12.75" hidden="false" customHeight="true" outlineLevel="0" collapsed="false"/>
    <row r="2169" customFormat="false" ht="12.75" hidden="false" customHeight="true" outlineLevel="0" collapsed="false"/>
    <row r="2170" customFormat="false" ht="12.75" hidden="false" customHeight="true" outlineLevel="0" collapsed="false"/>
    <row r="2171" customFormat="false" ht="12.75" hidden="false" customHeight="true" outlineLevel="0" collapsed="false"/>
    <row r="2172" customFormat="false" ht="12.75" hidden="false" customHeight="true" outlineLevel="0" collapsed="false"/>
    <row r="2173" customFormat="false" ht="12.75" hidden="false" customHeight="true" outlineLevel="0" collapsed="false"/>
    <row r="2174" customFormat="false" ht="12.75" hidden="false" customHeight="true" outlineLevel="0" collapsed="false"/>
    <row r="2175" customFormat="false" ht="12.75" hidden="false" customHeight="true" outlineLevel="0" collapsed="false"/>
    <row r="2176" customFormat="false" ht="12.75" hidden="false" customHeight="true" outlineLevel="0" collapsed="false"/>
    <row r="2177" customFormat="false" ht="12.75" hidden="false" customHeight="true" outlineLevel="0" collapsed="false"/>
    <row r="2178" customFormat="false" ht="12.75" hidden="false" customHeight="true" outlineLevel="0" collapsed="false"/>
    <row r="2179" customFormat="false" ht="12.75" hidden="false" customHeight="true" outlineLevel="0" collapsed="false"/>
    <row r="2180" customFormat="false" ht="12.75" hidden="false" customHeight="true" outlineLevel="0" collapsed="false"/>
    <row r="2181" customFormat="false" ht="12.75" hidden="false" customHeight="true" outlineLevel="0" collapsed="false"/>
    <row r="2182" customFormat="false" ht="12.75" hidden="false" customHeight="true" outlineLevel="0" collapsed="false"/>
    <row r="2183" customFormat="false" ht="12.75" hidden="false" customHeight="true" outlineLevel="0" collapsed="false"/>
    <row r="2184" customFormat="false" ht="12.75" hidden="false" customHeight="true" outlineLevel="0" collapsed="false"/>
    <row r="2185" customFormat="false" ht="12.75" hidden="false" customHeight="true" outlineLevel="0" collapsed="false"/>
    <row r="2186" customFormat="false" ht="12.75" hidden="false" customHeight="true" outlineLevel="0" collapsed="false"/>
    <row r="2187" customFormat="false" ht="12.75" hidden="false" customHeight="true" outlineLevel="0" collapsed="false"/>
    <row r="2188" customFormat="false" ht="12.75" hidden="false" customHeight="true" outlineLevel="0" collapsed="false"/>
    <row r="2189" customFormat="false" ht="12.75" hidden="false" customHeight="true" outlineLevel="0" collapsed="false"/>
    <row r="2190" customFormat="false" ht="12.75" hidden="false" customHeight="true" outlineLevel="0" collapsed="false"/>
    <row r="2191" customFormat="false" ht="12.75" hidden="false" customHeight="true" outlineLevel="0" collapsed="false"/>
    <row r="2192" customFormat="false" ht="12.75" hidden="false" customHeight="true" outlineLevel="0" collapsed="false"/>
    <row r="2193" customFormat="false" ht="12.75" hidden="false" customHeight="true" outlineLevel="0" collapsed="false"/>
    <row r="2194" customFormat="false" ht="12.75" hidden="false" customHeight="true" outlineLevel="0" collapsed="false"/>
    <row r="2195" customFormat="false" ht="12.75" hidden="false" customHeight="true" outlineLevel="0" collapsed="false"/>
    <row r="2196" customFormat="false" ht="12.75" hidden="false" customHeight="true" outlineLevel="0" collapsed="false"/>
    <row r="2197" customFormat="false" ht="12.75" hidden="false" customHeight="true" outlineLevel="0" collapsed="false"/>
    <row r="2198" customFormat="false" ht="12.75" hidden="false" customHeight="true" outlineLevel="0" collapsed="false"/>
    <row r="2199" customFormat="false" ht="12.75" hidden="false" customHeight="true" outlineLevel="0" collapsed="false"/>
    <row r="2200" customFormat="false" ht="12.75" hidden="false" customHeight="true" outlineLevel="0" collapsed="false"/>
    <row r="2201" customFormat="false" ht="12.75" hidden="false" customHeight="true" outlineLevel="0" collapsed="false"/>
    <row r="2202" customFormat="false" ht="12.75" hidden="false" customHeight="true" outlineLevel="0" collapsed="false"/>
    <row r="2203" customFormat="false" ht="12.75" hidden="false" customHeight="true" outlineLevel="0" collapsed="false"/>
    <row r="2204" customFormat="false" ht="12.75" hidden="false" customHeight="true" outlineLevel="0" collapsed="false"/>
    <row r="2205" customFormat="false" ht="12.75" hidden="false" customHeight="true" outlineLevel="0" collapsed="false"/>
    <row r="2206" customFormat="false" ht="12.75" hidden="false" customHeight="true" outlineLevel="0" collapsed="false"/>
    <row r="2207" customFormat="false" ht="12.75" hidden="false" customHeight="true" outlineLevel="0" collapsed="false"/>
    <row r="2208" customFormat="false" ht="12.75" hidden="false" customHeight="true" outlineLevel="0" collapsed="false"/>
    <row r="2209" customFormat="false" ht="12.75" hidden="false" customHeight="true" outlineLevel="0" collapsed="false"/>
    <row r="2210" customFormat="false" ht="12.75" hidden="false" customHeight="true" outlineLevel="0" collapsed="false"/>
    <row r="2211" customFormat="false" ht="12.75" hidden="false" customHeight="true" outlineLevel="0" collapsed="false"/>
    <row r="2212" customFormat="false" ht="12.75" hidden="false" customHeight="true" outlineLevel="0" collapsed="false"/>
    <row r="2213" customFormat="false" ht="12.75" hidden="false" customHeight="true" outlineLevel="0" collapsed="false"/>
    <row r="2214" customFormat="false" ht="12.75" hidden="false" customHeight="true" outlineLevel="0" collapsed="false"/>
    <row r="2215" customFormat="false" ht="12.75" hidden="false" customHeight="true" outlineLevel="0" collapsed="false"/>
    <row r="2216" customFormat="false" ht="12.75" hidden="false" customHeight="true" outlineLevel="0" collapsed="false"/>
    <row r="2217" customFormat="false" ht="12.75" hidden="false" customHeight="true" outlineLevel="0" collapsed="false"/>
    <row r="2218" customFormat="false" ht="12.75" hidden="false" customHeight="true" outlineLevel="0" collapsed="false"/>
    <row r="2219" customFormat="false" ht="12.75" hidden="false" customHeight="true" outlineLevel="0" collapsed="false"/>
    <row r="2220" customFormat="false" ht="12.75" hidden="false" customHeight="true" outlineLevel="0" collapsed="false"/>
    <row r="2221" customFormat="false" ht="12.75" hidden="false" customHeight="true" outlineLevel="0" collapsed="false"/>
    <row r="2222" customFormat="false" ht="12.75" hidden="false" customHeight="true" outlineLevel="0" collapsed="false"/>
    <row r="2223" customFormat="false" ht="12.75" hidden="false" customHeight="true" outlineLevel="0" collapsed="false"/>
    <row r="2224" customFormat="false" ht="12.75" hidden="false" customHeight="true" outlineLevel="0" collapsed="false"/>
    <row r="2225" customFormat="false" ht="12.75" hidden="false" customHeight="true" outlineLevel="0" collapsed="false"/>
    <row r="2226" customFormat="false" ht="12.75" hidden="false" customHeight="true" outlineLevel="0" collapsed="false"/>
    <row r="2227" customFormat="false" ht="12.75" hidden="false" customHeight="true" outlineLevel="0" collapsed="false"/>
    <row r="2228" customFormat="false" ht="12.75" hidden="false" customHeight="true" outlineLevel="0" collapsed="false"/>
    <row r="2229" customFormat="false" ht="12.75" hidden="false" customHeight="true" outlineLevel="0" collapsed="false"/>
    <row r="2230" customFormat="false" ht="12.75" hidden="false" customHeight="true" outlineLevel="0" collapsed="false"/>
    <row r="2231" customFormat="false" ht="12.75" hidden="false" customHeight="true" outlineLevel="0" collapsed="false"/>
    <row r="2232" customFormat="false" ht="12.75" hidden="false" customHeight="true" outlineLevel="0" collapsed="false"/>
    <row r="2233" customFormat="false" ht="12.75" hidden="false" customHeight="true" outlineLevel="0" collapsed="false"/>
    <row r="2234" customFormat="false" ht="12.75" hidden="false" customHeight="true" outlineLevel="0" collapsed="false"/>
    <row r="2235" customFormat="false" ht="12.75" hidden="false" customHeight="true" outlineLevel="0" collapsed="false"/>
    <row r="2236" customFormat="false" ht="12.75" hidden="false" customHeight="true" outlineLevel="0" collapsed="false"/>
    <row r="2237" customFormat="false" ht="12.75" hidden="false" customHeight="true" outlineLevel="0" collapsed="false"/>
    <row r="2238" customFormat="false" ht="12.75" hidden="false" customHeight="true" outlineLevel="0" collapsed="false"/>
    <row r="2239" customFormat="false" ht="12.75" hidden="false" customHeight="true" outlineLevel="0" collapsed="false"/>
    <row r="2240" customFormat="false" ht="12.75" hidden="false" customHeight="true" outlineLevel="0" collapsed="false"/>
    <row r="2241" customFormat="false" ht="12.75" hidden="false" customHeight="true" outlineLevel="0" collapsed="false"/>
    <row r="2242" customFormat="false" ht="12.75" hidden="false" customHeight="true" outlineLevel="0" collapsed="false"/>
    <row r="2243" customFormat="false" ht="12.75" hidden="false" customHeight="true" outlineLevel="0" collapsed="false"/>
    <row r="2244" customFormat="false" ht="12.75" hidden="false" customHeight="true" outlineLevel="0" collapsed="false"/>
    <row r="2245" customFormat="false" ht="12.75" hidden="false" customHeight="true" outlineLevel="0" collapsed="false"/>
    <row r="2246" customFormat="false" ht="12.75" hidden="false" customHeight="true" outlineLevel="0" collapsed="false"/>
    <row r="2247" customFormat="false" ht="12.75" hidden="false" customHeight="true" outlineLevel="0" collapsed="false"/>
    <row r="2248" customFormat="false" ht="12.75" hidden="false" customHeight="true" outlineLevel="0" collapsed="false"/>
    <row r="2249" customFormat="false" ht="12.75" hidden="false" customHeight="true" outlineLevel="0" collapsed="false"/>
    <row r="2250" customFormat="false" ht="12.75" hidden="false" customHeight="true" outlineLevel="0" collapsed="false"/>
    <row r="2251" customFormat="false" ht="12.75" hidden="false" customHeight="true" outlineLevel="0" collapsed="false"/>
    <row r="2252" customFormat="false" ht="12.75" hidden="false" customHeight="true" outlineLevel="0" collapsed="false"/>
    <row r="2253" customFormat="false" ht="12.75" hidden="false" customHeight="true" outlineLevel="0" collapsed="false"/>
    <row r="2254" customFormat="false" ht="12.75" hidden="false" customHeight="true" outlineLevel="0" collapsed="false"/>
    <row r="2255" customFormat="false" ht="12.75" hidden="false" customHeight="true" outlineLevel="0" collapsed="false"/>
    <row r="2256" customFormat="false" ht="12.75" hidden="false" customHeight="true" outlineLevel="0" collapsed="false"/>
    <row r="2257" customFormat="false" ht="12.75" hidden="false" customHeight="true" outlineLevel="0" collapsed="false"/>
    <row r="2258" customFormat="false" ht="12.75" hidden="false" customHeight="true" outlineLevel="0" collapsed="false"/>
    <row r="2259" customFormat="false" ht="12.75" hidden="false" customHeight="true" outlineLevel="0" collapsed="false"/>
    <row r="2260" customFormat="false" ht="12.75" hidden="false" customHeight="true" outlineLevel="0" collapsed="false"/>
    <row r="2261" customFormat="false" ht="12.75" hidden="false" customHeight="true" outlineLevel="0" collapsed="false"/>
    <row r="2262" customFormat="false" ht="12.75" hidden="false" customHeight="true" outlineLevel="0" collapsed="false"/>
    <row r="2263" customFormat="false" ht="12.75" hidden="false" customHeight="true" outlineLevel="0" collapsed="false"/>
    <row r="2264" customFormat="false" ht="12.75" hidden="false" customHeight="true" outlineLevel="0" collapsed="false"/>
    <row r="2265" customFormat="false" ht="12.75" hidden="false" customHeight="true" outlineLevel="0" collapsed="false"/>
    <row r="2266" customFormat="false" ht="12.75" hidden="false" customHeight="true" outlineLevel="0" collapsed="false"/>
    <row r="2267" customFormat="false" ht="12.75" hidden="false" customHeight="true" outlineLevel="0" collapsed="false"/>
    <row r="2268" customFormat="false" ht="12.75" hidden="false" customHeight="true" outlineLevel="0" collapsed="false"/>
    <row r="2269" customFormat="false" ht="12.75" hidden="false" customHeight="true" outlineLevel="0" collapsed="false"/>
    <row r="2270" customFormat="false" ht="12.75" hidden="false" customHeight="true" outlineLevel="0" collapsed="false"/>
    <row r="2271" customFormat="false" ht="12.75" hidden="false" customHeight="true" outlineLevel="0" collapsed="false"/>
    <row r="2272" customFormat="false" ht="12.75" hidden="false" customHeight="true" outlineLevel="0" collapsed="false"/>
    <row r="2273" customFormat="false" ht="12.75" hidden="false" customHeight="true" outlineLevel="0" collapsed="false"/>
    <row r="2274" customFormat="false" ht="12.75" hidden="false" customHeight="true" outlineLevel="0" collapsed="false"/>
    <row r="2275" customFormat="false" ht="12.75" hidden="false" customHeight="true" outlineLevel="0" collapsed="false"/>
    <row r="2276" customFormat="false" ht="12.75" hidden="false" customHeight="true" outlineLevel="0" collapsed="false"/>
    <row r="2277" customFormat="false" ht="12.75" hidden="false" customHeight="true" outlineLevel="0" collapsed="false"/>
    <row r="2278" customFormat="false" ht="12.75" hidden="false" customHeight="true" outlineLevel="0" collapsed="false"/>
    <row r="2279" customFormat="false" ht="12.75" hidden="false" customHeight="true" outlineLevel="0" collapsed="false"/>
    <row r="2280" customFormat="false" ht="12.75" hidden="false" customHeight="true" outlineLevel="0" collapsed="false"/>
    <row r="2281" customFormat="false" ht="12.75" hidden="false" customHeight="true" outlineLevel="0" collapsed="false"/>
    <row r="2282" customFormat="false" ht="12.75" hidden="false" customHeight="true" outlineLevel="0" collapsed="false"/>
    <row r="2283" customFormat="false" ht="12.75" hidden="false" customHeight="true" outlineLevel="0" collapsed="false"/>
    <row r="2284" customFormat="false" ht="12.75" hidden="false" customHeight="true" outlineLevel="0" collapsed="false"/>
    <row r="2285" customFormat="false" ht="12.75" hidden="false" customHeight="true" outlineLevel="0" collapsed="false"/>
    <row r="2286" customFormat="false" ht="12.75" hidden="false" customHeight="true" outlineLevel="0" collapsed="false"/>
    <row r="2287" customFormat="false" ht="12.75" hidden="false" customHeight="true" outlineLevel="0" collapsed="false"/>
    <row r="2288" customFormat="false" ht="12.75" hidden="false" customHeight="true" outlineLevel="0" collapsed="false"/>
    <row r="2289" customFormat="false" ht="12.75" hidden="false" customHeight="true" outlineLevel="0" collapsed="false"/>
    <row r="2290" customFormat="false" ht="12.75" hidden="false" customHeight="true" outlineLevel="0" collapsed="false"/>
    <row r="2291" customFormat="false" ht="12.75" hidden="false" customHeight="true" outlineLevel="0" collapsed="false"/>
    <row r="2292" customFormat="false" ht="12.75" hidden="false" customHeight="true" outlineLevel="0" collapsed="false"/>
    <row r="2293" customFormat="false" ht="12.75" hidden="false" customHeight="true" outlineLevel="0" collapsed="false"/>
    <row r="2294" customFormat="false" ht="12.75" hidden="false" customHeight="true" outlineLevel="0" collapsed="false"/>
    <row r="2295" customFormat="false" ht="12.75" hidden="false" customHeight="true" outlineLevel="0" collapsed="false"/>
    <row r="2296" customFormat="false" ht="12.75" hidden="false" customHeight="true" outlineLevel="0" collapsed="false"/>
    <row r="2297" customFormat="false" ht="12.75" hidden="false" customHeight="true" outlineLevel="0" collapsed="false"/>
    <row r="2298" customFormat="false" ht="12.75" hidden="false" customHeight="true" outlineLevel="0" collapsed="false"/>
    <row r="2299" customFormat="false" ht="12.75" hidden="false" customHeight="true" outlineLevel="0" collapsed="false"/>
    <row r="2300" customFormat="false" ht="12.75" hidden="false" customHeight="true" outlineLevel="0" collapsed="false"/>
    <row r="2301" customFormat="false" ht="12.75" hidden="false" customHeight="true" outlineLevel="0" collapsed="false"/>
    <row r="2302" customFormat="false" ht="12.75" hidden="false" customHeight="true" outlineLevel="0" collapsed="false"/>
    <row r="2303" customFormat="false" ht="12.75" hidden="false" customHeight="true" outlineLevel="0" collapsed="false"/>
    <row r="2304" customFormat="false" ht="12.75" hidden="false" customHeight="true" outlineLevel="0" collapsed="false"/>
    <row r="2305" customFormat="false" ht="12.75" hidden="false" customHeight="true" outlineLevel="0" collapsed="false"/>
    <row r="2306" customFormat="false" ht="12.75" hidden="false" customHeight="true" outlineLevel="0" collapsed="false"/>
    <row r="2307" customFormat="false" ht="12.75" hidden="false" customHeight="true" outlineLevel="0" collapsed="false"/>
    <row r="2308" customFormat="false" ht="12.75" hidden="false" customHeight="true" outlineLevel="0" collapsed="false"/>
    <row r="2309" customFormat="false" ht="12.75" hidden="false" customHeight="true" outlineLevel="0" collapsed="false"/>
    <row r="2310" customFormat="false" ht="12.75" hidden="false" customHeight="true" outlineLevel="0" collapsed="false"/>
    <row r="2311" customFormat="false" ht="12.75" hidden="false" customHeight="true" outlineLevel="0" collapsed="false"/>
    <row r="2312" customFormat="false" ht="12.75" hidden="false" customHeight="true" outlineLevel="0" collapsed="false"/>
    <row r="2313" customFormat="false" ht="12.75" hidden="false" customHeight="true" outlineLevel="0" collapsed="false"/>
    <row r="2314" customFormat="false" ht="12.75" hidden="false" customHeight="true" outlineLevel="0" collapsed="false"/>
    <row r="2315" customFormat="false" ht="12.75" hidden="false" customHeight="true" outlineLevel="0" collapsed="false"/>
    <row r="2316" customFormat="false" ht="12.75" hidden="false" customHeight="true" outlineLevel="0" collapsed="false"/>
    <row r="2317" customFormat="false" ht="12.75" hidden="false" customHeight="true" outlineLevel="0" collapsed="false"/>
    <row r="2318" customFormat="false" ht="12.75" hidden="false" customHeight="true" outlineLevel="0" collapsed="false"/>
    <row r="2319" customFormat="false" ht="12.75" hidden="false" customHeight="true" outlineLevel="0" collapsed="false"/>
    <row r="2320" customFormat="false" ht="12.75" hidden="false" customHeight="true" outlineLevel="0" collapsed="false"/>
    <row r="2321" customFormat="false" ht="12.75" hidden="false" customHeight="true" outlineLevel="0" collapsed="false"/>
    <row r="2322" customFormat="false" ht="12.75" hidden="false" customHeight="true" outlineLevel="0" collapsed="false"/>
    <row r="2323" customFormat="false" ht="12.75" hidden="false" customHeight="true" outlineLevel="0" collapsed="false"/>
    <row r="2324" customFormat="false" ht="12.75" hidden="false" customHeight="true" outlineLevel="0" collapsed="false"/>
    <row r="2325" customFormat="false" ht="12.75" hidden="false" customHeight="true" outlineLevel="0" collapsed="false"/>
    <row r="2326" customFormat="false" ht="12.75" hidden="false" customHeight="true" outlineLevel="0" collapsed="false"/>
    <row r="2327" customFormat="false" ht="12.75" hidden="false" customHeight="true" outlineLevel="0" collapsed="false"/>
    <row r="2328" customFormat="false" ht="12.75" hidden="false" customHeight="true" outlineLevel="0" collapsed="false"/>
    <row r="2329" customFormat="false" ht="12.75" hidden="false" customHeight="true" outlineLevel="0" collapsed="false"/>
    <row r="2330" customFormat="false" ht="12.75" hidden="false" customHeight="true" outlineLevel="0" collapsed="false"/>
    <row r="2331" customFormat="false" ht="12.75" hidden="false" customHeight="true" outlineLevel="0" collapsed="false"/>
    <row r="2332" customFormat="false" ht="12.75" hidden="false" customHeight="true" outlineLevel="0" collapsed="false"/>
    <row r="2333" customFormat="false" ht="12.75" hidden="false" customHeight="true" outlineLevel="0" collapsed="false"/>
    <row r="2334" customFormat="false" ht="12.75" hidden="false" customHeight="true" outlineLevel="0" collapsed="false"/>
    <row r="2335" customFormat="false" ht="12.75" hidden="false" customHeight="true" outlineLevel="0" collapsed="false"/>
    <row r="2336" customFormat="false" ht="12.75" hidden="false" customHeight="true" outlineLevel="0" collapsed="false"/>
    <row r="2337" customFormat="false" ht="12.75" hidden="false" customHeight="true" outlineLevel="0" collapsed="false"/>
    <row r="2338" customFormat="false" ht="12.75" hidden="false" customHeight="true" outlineLevel="0" collapsed="false"/>
    <row r="2339" customFormat="false" ht="12.75" hidden="false" customHeight="true" outlineLevel="0" collapsed="false"/>
    <row r="2340" customFormat="false" ht="12.75" hidden="false" customHeight="true" outlineLevel="0" collapsed="false"/>
    <row r="2341" customFormat="false" ht="12.75" hidden="false" customHeight="true" outlineLevel="0" collapsed="false"/>
    <row r="2342" customFormat="false" ht="12.75" hidden="false" customHeight="true" outlineLevel="0" collapsed="false"/>
    <row r="2343" customFormat="false" ht="12.75" hidden="false" customHeight="true" outlineLevel="0" collapsed="false"/>
    <row r="2344" customFormat="false" ht="12.75" hidden="false" customHeight="true" outlineLevel="0" collapsed="false"/>
    <row r="2345" customFormat="false" ht="12.75" hidden="false" customHeight="true" outlineLevel="0" collapsed="false"/>
    <row r="2346" customFormat="false" ht="12.75" hidden="false" customHeight="true" outlineLevel="0" collapsed="false"/>
    <row r="2347" customFormat="false" ht="12.75" hidden="false" customHeight="true" outlineLevel="0" collapsed="false"/>
    <row r="2348" customFormat="false" ht="12.75" hidden="false" customHeight="true" outlineLevel="0" collapsed="false"/>
    <row r="2349" customFormat="false" ht="12.75" hidden="false" customHeight="true" outlineLevel="0" collapsed="false"/>
    <row r="2350" customFormat="false" ht="12.75" hidden="false" customHeight="true" outlineLevel="0" collapsed="false"/>
    <row r="2351" customFormat="false" ht="12.75" hidden="false" customHeight="true" outlineLevel="0" collapsed="false"/>
    <row r="2352" customFormat="false" ht="12.75" hidden="false" customHeight="true" outlineLevel="0" collapsed="false"/>
    <row r="2353" customFormat="false" ht="12.75" hidden="false" customHeight="true" outlineLevel="0" collapsed="false"/>
    <row r="2354" customFormat="false" ht="12.75" hidden="false" customHeight="true" outlineLevel="0" collapsed="false"/>
    <row r="2355" customFormat="false" ht="12.75" hidden="false" customHeight="true" outlineLevel="0" collapsed="false"/>
    <row r="2356" customFormat="false" ht="12.75" hidden="false" customHeight="true" outlineLevel="0" collapsed="false"/>
    <row r="2357" customFormat="false" ht="12.75" hidden="false" customHeight="true" outlineLevel="0" collapsed="false"/>
    <row r="2358" customFormat="false" ht="12.75" hidden="false" customHeight="true" outlineLevel="0" collapsed="false"/>
    <row r="2359" customFormat="false" ht="12.75" hidden="false" customHeight="true" outlineLevel="0" collapsed="false"/>
    <row r="2360" customFormat="false" ht="12.75" hidden="false" customHeight="true" outlineLevel="0" collapsed="false"/>
    <row r="2361" customFormat="false" ht="12.75" hidden="false" customHeight="true" outlineLevel="0" collapsed="false"/>
    <row r="2362" customFormat="false" ht="12.75" hidden="false" customHeight="true" outlineLevel="0" collapsed="false"/>
    <row r="2363" customFormat="false" ht="12.75" hidden="false" customHeight="true" outlineLevel="0" collapsed="false"/>
    <row r="2364" customFormat="false" ht="12.75" hidden="false" customHeight="true" outlineLevel="0" collapsed="false"/>
    <row r="2365" customFormat="false" ht="12.75" hidden="false" customHeight="true" outlineLevel="0" collapsed="false"/>
    <row r="2366" customFormat="false" ht="12.75" hidden="false" customHeight="true" outlineLevel="0" collapsed="false"/>
    <row r="2367" customFormat="false" ht="12.75" hidden="false" customHeight="true" outlineLevel="0" collapsed="false"/>
    <row r="2368" customFormat="false" ht="12.75" hidden="false" customHeight="true" outlineLevel="0" collapsed="false"/>
    <row r="2369" customFormat="false" ht="12.75" hidden="false" customHeight="true" outlineLevel="0" collapsed="false"/>
    <row r="2370" customFormat="false" ht="12.75" hidden="false" customHeight="true" outlineLevel="0" collapsed="false"/>
    <row r="2371" customFormat="false" ht="12.75" hidden="false" customHeight="true" outlineLevel="0" collapsed="false"/>
    <row r="2372" customFormat="false" ht="12.75" hidden="false" customHeight="true" outlineLevel="0" collapsed="false"/>
    <row r="2373" customFormat="false" ht="12.75" hidden="false" customHeight="true" outlineLevel="0" collapsed="false"/>
    <row r="2374" customFormat="false" ht="12.75" hidden="false" customHeight="true" outlineLevel="0" collapsed="false"/>
    <row r="2375" customFormat="false" ht="12.75" hidden="false" customHeight="true" outlineLevel="0" collapsed="false"/>
    <row r="2376" customFormat="false" ht="12.75" hidden="false" customHeight="true" outlineLevel="0" collapsed="false"/>
    <row r="2377" customFormat="false" ht="12.75" hidden="false" customHeight="true" outlineLevel="0" collapsed="false"/>
    <row r="2378" customFormat="false" ht="12.75" hidden="false" customHeight="true" outlineLevel="0" collapsed="false"/>
    <row r="2379" customFormat="false" ht="12.75" hidden="false" customHeight="true" outlineLevel="0" collapsed="false"/>
    <row r="2380" customFormat="false" ht="12.75" hidden="false" customHeight="true" outlineLevel="0" collapsed="false"/>
    <row r="2381" customFormat="false" ht="12.75" hidden="false" customHeight="true" outlineLevel="0" collapsed="false"/>
    <row r="2382" customFormat="false" ht="12.75" hidden="false" customHeight="true" outlineLevel="0" collapsed="false"/>
    <row r="2383" customFormat="false" ht="12.75" hidden="false" customHeight="true" outlineLevel="0" collapsed="false"/>
    <row r="2384" customFormat="false" ht="12.75" hidden="false" customHeight="true" outlineLevel="0" collapsed="false"/>
    <row r="2385" customFormat="false" ht="12.75" hidden="false" customHeight="true" outlineLevel="0" collapsed="false"/>
    <row r="2386" customFormat="false" ht="12.75" hidden="false" customHeight="true" outlineLevel="0" collapsed="false"/>
    <row r="2387" customFormat="false" ht="12.75" hidden="false" customHeight="true" outlineLevel="0" collapsed="false"/>
    <row r="2388" customFormat="false" ht="12.75" hidden="false" customHeight="true" outlineLevel="0" collapsed="false"/>
    <row r="2389" customFormat="false" ht="12.75" hidden="false" customHeight="true" outlineLevel="0" collapsed="false"/>
    <row r="2390" customFormat="false" ht="12.75" hidden="false" customHeight="true" outlineLevel="0" collapsed="false"/>
    <row r="2391" customFormat="false" ht="12.75" hidden="false" customHeight="true" outlineLevel="0" collapsed="false"/>
    <row r="2392" customFormat="false" ht="12.75" hidden="false" customHeight="true" outlineLevel="0" collapsed="false"/>
    <row r="2393" customFormat="false" ht="12.75" hidden="false" customHeight="true" outlineLevel="0" collapsed="false"/>
    <row r="2394" customFormat="false" ht="12.75" hidden="false" customHeight="true" outlineLevel="0" collapsed="false"/>
    <row r="2395" customFormat="false" ht="12.75" hidden="false" customHeight="true" outlineLevel="0" collapsed="false"/>
    <row r="2396" customFormat="false" ht="12.75" hidden="false" customHeight="true" outlineLevel="0" collapsed="false"/>
    <row r="2397" customFormat="false" ht="12.75" hidden="false" customHeight="true" outlineLevel="0" collapsed="false"/>
    <row r="2398" customFormat="false" ht="12.75" hidden="false" customHeight="true" outlineLevel="0" collapsed="false"/>
    <row r="2399" customFormat="false" ht="12.75" hidden="false" customHeight="true" outlineLevel="0" collapsed="false"/>
    <row r="2400" customFormat="false" ht="12.75" hidden="false" customHeight="true" outlineLevel="0" collapsed="false"/>
    <row r="2401" customFormat="false" ht="12.75" hidden="false" customHeight="true" outlineLevel="0" collapsed="false"/>
    <row r="2402" customFormat="false" ht="12.75" hidden="false" customHeight="true" outlineLevel="0" collapsed="false"/>
    <row r="2403" customFormat="false" ht="12.75" hidden="false" customHeight="true" outlineLevel="0" collapsed="false"/>
    <row r="2404" customFormat="false" ht="12.75" hidden="false" customHeight="true" outlineLevel="0" collapsed="false"/>
    <row r="2405" customFormat="false" ht="12.75" hidden="false" customHeight="true" outlineLevel="0" collapsed="false"/>
    <row r="2406" customFormat="false" ht="12.75" hidden="false" customHeight="true" outlineLevel="0" collapsed="false"/>
    <row r="2407" customFormat="false" ht="12.75" hidden="false" customHeight="true" outlineLevel="0" collapsed="false"/>
    <row r="2408" customFormat="false" ht="12.75" hidden="false" customHeight="true" outlineLevel="0" collapsed="false"/>
    <row r="2409" customFormat="false" ht="12.75" hidden="false" customHeight="true" outlineLevel="0" collapsed="false"/>
    <row r="2410" customFormat="false" ht="12.75" hidden="false" customHeight="true" outlineLevel="0" collapsed="false"/>
    <row r="2411" customFormat="false" ht="12.75" hidden="false" customHeight="true" outlineLevel="0" collapsed="false"/>
    <row r="2412" customFormat="false" ht="12.75" hidden="false" customHeight="true" outlineLevel="0" collapsed="false"/>
    <row r="2413" customFormat="false" ht="12.75" hidden="false" customHeight="true" outlineLevel="0" collapsed="false"/>
    <row r="2414" customFormat="false" ht="12.75" hidden="false" customHeight="true" outlineLevel="0" collapsed="false"/>
    <row r="2415" customFormat="false" ht="12.75" hidden="false" customHeight="true" outlineLevel="0" collapsed="false"/>
    <row r="2416" customFormat="false" ht="12.75" hidden="false" customHeight="true" outlineLevel="0" collapsed="false"/>
    <row r="2417" customFormat="false" ht="12.75" hidden="false" customHeight="true" outlineLevel="0" collapsed="false"/>
    <row r="2418" customFormat="false" ht="12.75" hidden="false" customHeight="true" outlineLevel="0" collapsed="false"/>
    <row r="2419" customFormat="false" ht="12.75" hidden="false" customHeight="true" outlineLevel="0" collapsed="false"/>
    <row r="2420" customFormat="false" ht="12.75" hidden="false" customHeight="true" outlineLevel="0" collapsed="false"/>
    <row r="2421" customFormat="false" ht="12.75" hidden="false" customHeight="true" outlineLevel="0" collapsed="false"/>
    <row r="2422" customFormat="false" ht="12.75" hidden="false" customHeight="true" outlineLevel="0" collapsed="false"/>
    <row r="2423" customFormat="false" ht="12.75" hidden="false" customHeight="true" outlineLevel="0" collapsed="false"/>
    <row r="2424" customFormat="false" ht="12.75" hidden="false" customHeight="true" outlineLevel="0" collapsed="false"/>
    <row r="2425" customFormat="false" ht="12.75" hidden="false" customHeight="true" outlineLevel="0" collapsed="false"/>
    <row r="2426" customFormat="false" ht="12.75" hidden="false" customHeight="true" outlineLevel="0" collapsed="false"/>
    <row r="2427" customFormat="false" ht="12.75" hidden="false" customHeight="true" outlineLevel="0" collapsed="false"/>
    <row r="2428" customFormat="false" ht="12.75" hidden="false" customHeight="true" outlineLevel="0" collapsed="false"/>
    <row r="2429" customFormat="false" ht="12.75" hidden="false" customHeight="true" outlineLevel="0" collapsed="false"/>
    <row r="2430" customFormat="false" ht="12.75" hidden="false" customHeight="true" outlineLevel="0" collapsed="false"/>
    <row r="2431" customFormat="false" ht="12.75" hidden="false" customHeight="true" outlineLevel="0" collapsed="false"/>
    <row r="2432" customFormat="false" ht="12.75" hidden="false" customHeight="true" outlineLevel="0" collapsed="false"/>
    <row r="2433" customFormat="false" ht="12.75" hidden="false" customHeight="true" outlineLevel="0" collapsed="false"/>
    <row r="2434" customFormat="false" ht="12.75" hidden="false" customHeight="true" outlineLevel="0" collapsed="false"/>
    <row r="2435" customFormat="false" ht="12.75" hidden="false" customHeight="true" outlineLevel="0" collapsed="false"/>
    <row r="2436" customFormat="false" ht="12.75" hidden="false" customHeight="true" outlineLevel="0" collapsed="false"/>
    <row r="2437" customFormat="false" ht="12.75" hidden="false" customHeight="true" outlineLevel="0" collapsed="false"/>
    <row r="2438" customFormat="false" ht="12.75" hidden="false" customHeight="true" outlineLevel="0" collapsed="false"/>
    <row r="2439" customFormat="false" ht="12.75" hidden="false" customHeight="true" outlineLevel="0" collapsed="false"/>
    <row r="2440" customFormat="false" ht="12.75" hidden="false" customHeight="true" outlineLevel="0" collapsed="false"/>
    <row r="2441" customFormat="false" ht="12.75" hidden="false" customHeight="true" outlineLevel="0" collapsed="false"/>
    <row r="2442" customFormat="false" ht="12.75" hidden="false" customHeight="true" outlineLevel="0" collapsed="false"/>
    <row r="2443" customFormat="false" ht="12.75" hidden="false" customHeight="true" outlineLevel="0" collapsed="false"/>
    <row r="2444" customFormat="false" ht="12.75" hidden="false" customHeight="true" outlineLevel="0" collapsed="false"/>
    <row r="2445" customFormat="false" ht="12.75" hidden="false" customHeight="true" outlineLevel="0" collapsed="false"/>
    <row r="2446" customFormat="false" ht="12.75" hidden="false" customHeight="true" outlineLevel="0" collapsed="false"/>
    <row r="2447" customFormat="false" ht="12.75" hidden="false" customHeight="true" outlineLevel="0" collapsed="false"/>
    <row r="2448" customFormat="false" ht="12.75" hidden="false" customHeight="true" outlineLevel="0" collapsed="false"/>
    <row r="2449" customFormat="false" ht="12.75" hidden="false" customHeight="true" outlineLevel="0" collapsed="false"/>
    <row r="2450" customFormat="false" ht="12.75" hidden="false" customHeight="true" outlineLevel="0" collapsed="false"/>
    <row r="2451" customFormat="false" ht="12.75" hidden="false" customHeight="true" outlineLevel="0" collapsed="false"/>
    <row r="2452" customFormat="false" ht="12.75" hidden="false" customHeight="true" outlineLevel="0" collapsed="false"/>
    <row r="2453" customFormat="false" ht="12.75" hidden="false" customHeight="true" outlineLevel="0" collapsed="false"/>
    <row r="2454" customFormat="false" ht="12.75" hidden="false" customHeight="true" outlineLevel="0" collapsed="false"/>
    <row r="2455" customFormat="false" ht="12.75" hidden="false" customHeight="true" outlineLevel="0" collapsed="false"/>
    <row r="2456" customFormat="false" ht="12.75" hidden="false" customHeight="true" outlineLevel="0" collapsed="false"/>
    <row r="2457" customFormat="false" ht="12.75" hidden="false" customHeight="true" outlineLevel="0" collapsed="false"/>
    <row r="2458" customFormat="false" ht="12.75" hidden="false" customHeight="true" outlineLevel="0" collapsed="false"/>
    <row r="2459" customFormat="false" ht="12.75" hidden="false" customHeight="true" outlineLevel="0" collapsed="false"/>
    <row r="2460" customFormat="false" ht="12.75" hidden="false" customHeight="true" outlineLevel="0" collapsed="false"/>
    <row r="2461" customFormat="false" ht="12.75" hidden="false" customHeight="true" outlineLevel="0" collapsed="false"/>
    <row r="2462" customFormat="false" ht="12.75" hidden="false" customHeight="true" outlineLevel="0" collapsed="false"/>
    <row r="2463" customFormat="false" ht="12.75" hidden="false" customHeight="true" outlineLevel="0" collapsed="false"/>
    <row r="2464" customFormat="false" ht="12.75" hidden="false" customHeight="true" outlineLevel="0" collapsed="false"/>
    <row r="2465" customFormat="false" ht="12.75" hidden="false" customHeight="true" outlineLevel="0" collapsed="false"/>
    <row r="2466" customFormat="false" ht="12.75" hidden="false" customHeight="true" outlineLevel="0" collapsed="false"/>
    <row r="2467" customFormat="false" ht="12.75" hidden="false" customHeight="true" outlineLevel="0" collapsed="false"/>
    <row r="2468" customFormat="false" ht="12.75" hidden="false" customHeight="true" outlineLevel="0" collapsed="false"/>
    <row r="2469" customFormat="false" ht="12.75" hidden="false" customHeight="true" outlineLevel="0" collapsed="false"/>
    <row r="2470" customFormat="false" ht="12.75" hidden="false" customHeight="true" outlineLevel="0" collapsed="false"/>
    <row r="2471" customFormat="false" ht="12.75" hidden="false" customHeight="true" outlineLevel="0" collapsed="false"/>
    <row r="2472" customFormat="false" ht="12.75" hidden="false" customHeight="true" outlineLevel="0" collapsed="false"/>
    <row r="2473" customFormat="false" ht="12.75" hidden="false" customHeight="true" outlineLevel="0" collapsed="false"/>
    <row r="2474" customFormat="false" ht="12.75" hidden="false" customHeight="true" outlineLevel="0" collapsed="false"/>
    <row r="2475" customFormat="false" ht="12.75" hidden="false" customHeight="true" outlineLevel="0" collapsed="false"/>
    <row r="2476" customFormat="false" ht="12.75" hidden="false" customHeight="true" outlineLevel="0" collapsed="false"/>
    <row r="2477" customFormat="false" ht="12.75" hidden="false" customHeight="true" outlineLevel="0" collapsed="false"/>
    <row r="2478" customFormat="false" ht="12.75" hidden="false" customHeight="true" outlineLevel="0" collapsed="false"/>
    <row r="2479" customFormat="false" ht="12.75" hidden="false" customHeight="true" outlineLevel="0" collapsed="false"/>
    <row r="2480" customFormat="false" ht="12.75" hidden="false" customHeight="true" outlineLevel="0" collapsed="false"/>
    <row r="2481" customFormat="false" ht="12.75" hidden="false" customHeight="true" outlineLevel="0" collapsed="false"/>
    <row r="2482" customFormat="false" ht="12.75" hidden="false" customHeight="true" outlineLevel="0" collapsed="false"/>
    <row r="2483" customFormat="false" ht="12.75" hidden="false" customHeight="true" outlineLevel="0" collapsed="false"/>
    <row r="2484" customFormat="false" ht="12.75" hidden="false" customHeight="true" outlineLevel="0" collapsed="false"/>
    <row r="2485" customFormat="false" ht="12.75" hidden="false" customHeight="true" outlineLevel="0" collapsed="false"/>
    <row r="2486" customFormat="false" ht="12.75" hidden="false" customHeight="true" outlineLevel="0" collapsed="false"/>
    <row r="2487" customFormat="false" ht="12.75" hidden="false" customHeight="true" outlineLevel="0" collapsed="false"/>
    <row r="2488" customFormat="false" ht="12.75" hidden="false" customHeight="true" outlineLevel="0" collapsed="false"/>
    <row r="2489" customFormat="false" ht="12.75" hidden="false" customHeight="true" outlineLevel="0" collapsed="false"/>
    <row r="2490" customFormat="false" ht="12.75" hidden="false" customHeight="true" outlineLevel="0" collapsed="false"/>
    <row r="2491" customFormat="false" ht="12.75" hidden="false" customHeight="true" outlineLevel="0" collapsed="false"/>
    <row r="2492" customFormat="false" ht="12.75" hidden="false" customHeight="true" outlineLevel="0" collapsed="false"/>
    <row r="2493" customFormat="false" ht="12.75" hidden="false" customHeight="true" outlineLevel="0" collapsed="false"/>
    <row r="2494" customFormat="false" ht="12.75" hidden="false" customHeight="true" outlineLevel="0" collapsed="false"/>
    <row r="2495" customFormat="false" ht="12.75" hidden="false" customHeight="true" outlineLevel="0" collapsed="false"/>
    <row r="2496" customFormat="false" ht="12.75" hidden="false" customHeight="true" outlineLevel="0" collapsed="false"/>
    <row r="2497" customFormat="false" ht="12.75" hidden="false" customHeight="true" outlineLevel="0" collapsed="false"/>
    <row r="2498" customFormat="false" ht="12.75" hidden="false" customHeight="true" outlineLevel="0" collapsed="false"/>
    <row r="2499" customFormat="false" ht="12.75" hidden="false" customHeight="true" outlineLevel="0" collapsed="false"/>
    <row r="2500" customFormat="false" ht="12.75" hidden="false" customHeight="true" outlineLevel="0" collapsed="false"/>
    <row r="2501" customFormat="false" ht="12.75" hidden="false" customHeight="true" outlineLevel="0" collapsed="false"/>
    <row r="2502" customFormat="false" ht="12.75" hidden="false" customHeight="true" outlineLevel="0" collapsed="false"/>
    <row r="2503" customFormat="false" ht="12.75" hidden="false" customHeight="true" outlineLevel="0" collapsed="false"/>
    <row r="2504" customFormat="false" ht="12.75" hidden="false" customHeight="true" outlineLevel="0" collapsed="false"/>
    <row r="2505" customFormat="false" ht="12.75" hidden="false" customHeight="true" outlineLevel="0" collapsed="false"/>
    <row r="2506" customFormat="false" ht="12.75" hidden="false" customHeight="true" outlineLevel="0" collapsed="false"/>
    <row r="2507" customFormat="false" ht="12.75" hidden="false" customHeight="true" outlineLevel="0" collapsed="false"/>
    <row r="2508" customFormat="false" ht="12.75" hidden="false" customHeight="true" outlineLevel="0" collapsed="false"/>
    <row r="2509" customFormat="false" ht="12.75" hidden="false" customHeight="true" outlineLevel="0" collapsed="false"/>
    <row r="2510" customFormat="false" ht="12.75" hidden="false" customHeight="true" outlineLevel="0" collapsed="false"/>
    <row r="2511" customFormat="false" ht="12.75" hidden="false" customHeight="true" outlineLevel="0" collapsed="false"/>
    <row r="2512" customFormat="false" ht="12.75" hidden="false" customHeight="true" outlineLevel="0" collapsed="false"/>
    <row r="2513" customFormat="false" ht="12.75" hidden="false" customHeight="true" outlineLevel="0" collapsed="false"/>
    <row r="2514" customFormat="false" ht="12.75" hidden="false" customHeight="true" outlineLevel="0" collapsed="false"/>
    <row r="2515" customFormat="false" ht="12.75" hidden="false" customHeight="true" outlineLevel="0" collapsed="false"/>
    <row r="2516" customFormat="false" ht="12.75" hidden="false" customHeight="true" outlineLevel="0" collapsed="false"/>
    <row r="2517" customFormat="false" ht="12.75" hidden="false" customHeight="true" outlineLevel="0" collapsed="false"/>
    <row r="2518" customFormat="false" ht="12.75" hidden="false" customHeight="true" outlineLevel="0" collapsed="false"/>
    <row r="2519" customFormat="false" ht="12.75" hidden="false" customHeight="true" outlineLevel="0" collapsed="false"/>
    <row r="2520" customFormat="false" ht="12.75" hidden="false" customHeight="true" outlineLevel="0" collapsed="false"/>
    <row r="2521" customFormat="false" ht="12.75" hidden="false" customHeight="true" outlineLevel="0" collapsed="false"/>
    <row r="2522" customFormat="false" ht="12.75" hidden="false" customHeight="true" outlineLevel="0" collapsed="false"/>
    <row r="2523" customFormat="false" ht="12.75" hidden="false" customHeight="true" outlineLevel="0" collapsed="false"/>
    <row r="2524" customFormat="false" ht="12.75" hidden="false" customHeight="true" outlineLevel="0" collapsed="false"/>
    <row r="2525" customFormat="false" ht="12.75" hidden="false" customHeight="true" outlineLevel="0" collapsed="false"/>
    <row r="2526" customFormat="false" ht="12.75" hidden="false" customHeight="true" outlineLevel="0" collapsed="false"/>
    <row r="2527" customFormat="false" ht="12.75" hidden="false" customHeight="true" outlineLevel="0" collapsed="false"/>
    <row r="2528" customFormat="false" ht="12.75" hidden="false" customHeight="true" outlineLevel="0" collapsed="false"/>
    <row r="2529" customFormat="false" ht="12.75" hidden="false" customHeight="true" outlineLevel="0" collapsed="false"/>
    <row r="2530" customFormat="false" ht="12.75" hidden="false" customHeight="true" outlineLevel="0" collapsed="false"/>
    <row r="2531" customFormat="false" ht="12.75" hidden="false" customHeight="true" outlineLevel="0" collapsed="false"/>
    <row r="2532" customFormat="false" ht="12.75" hidden="false" customHeight="true" outlineLevel="0" collapsed="false"/>
    <row r="2533" customFormat="false" ht="12.75" hidden="false" customHeight="true" outlineLevel="0" collapsed="false"/>
    <row r="2534" customFormat="false" ht="12.75" hidden="false" customHeight="true" outlineLevel="0" collapsed="false"/>
    <row r="2535" customFormat="false" ht="12.75" hidden="false" customHeight="true" outlineLevel="0" collapsed="false"/>
    <row r="2536" customFormat="false" ht="12.75" hidden="false" customHeight="true" outlineLevel="0" collapsed="false"/>
    <row r="2537" customFormat="false" ht="12.75" hidden="false" customHeight="true" outlineLevel="0" collapsed="false"/>
    <row r="2538" customFormat="false" ht="12.75" hidden="false" customHeight="true" outlineLevel="0" collapsed="false"/>
    <row r="2539" customFormat="false" ht="12.75" hidden="false" customHeight="true" outlineLevel="0" collapsed="false"/>
    <row r="2540" customFormat="false" ht="12.75" hidden="false" customHeight="true" outlineLevel="0" collapsed="false"/>
    <row r="2541" customFormat="false" ht="12.75" hidden="false" customHeight="true" outlineLevel="0" collapsed="false"/>
    <row r="2542" customFormat="false" ht="12.75" hidden="false" customHeight="true" outlineLevel="0" collapsed="false"/>
    <row r="2543" customFormat="false" ht="12.75" hidden="false" customHeight="true" outlineLevel="0" collapsed="false"/>
    <row r="2544" customFormat="false" ht="12.75" hidden="false" customHeight="true" outlineLevel="0" collapsed="false"/>
    <row r="2545" customFormat="false" ht="12.75" hidden="false" customHeight="true" outlineLevel="0" collapsed="false"/>
    <row r="2546" customFormat="false" ht="12.75" hidden="false" customHeight="true" outlineLevel="0" collapsed="false"/>
    <row r="2547" customFormat="false" ht="12.75" hidden="false" customHeight="true" outlineLevel="0" collapsed="false"/>
    <row r="2548" customFormat="false" ht="12.75" hidden="false" customHeight="true" outlineLevel="0" collapsed="false"/>
    <row r="2549" customFormat="false" ht="12.75" hidden="false" customHeight="true" outlineLevel="0" collapsed="false"/>
    <row r="2550" customFormat="false" ht="12.75" hidden="false" customHeight="true" outlineLevel="0" collapsed="false"/>
    <row r="2551" customFormat="false" ht="12.75" hidden="false" customHeight="true" outlineLevel="0" collapsed="false"/>
    <row r="2552" customFormat="false" ht="12.75" hidden="false" customHeight="true" outlineLevel="0" collapsed="false"/>
    <row r="2553" customFormat="false" ht="12.75" hidden="false" customHeight="true" outlineLevel="0" collapsed="false"/>
    <row r="2554" customFormat="false" ht="12.75" hidden="false" customHeight="true" outlineLevel="0" collapsed="false"/>
    <row r="2555" customFormat="false" ht="12.75" hidden="false" customHeight="true" outlineLevel="0" collapsed="false"/>
    <row r="2556" customFormat="false" ht="12.75" hidden="false" customHeight="true" outlineLevel="0" collapsed="false"/>
    <row r="2557" customFormat="false" ht="12.75" hidden="false" customHeight="true" outlineLevel="0" collapsed="false"/>
    <row r="2558" customFormat="false" ht="12.75" hidden="false" customHeight="true" outlineLevel="0" collapsed="false"/>
    <row r="2559" customFormat="false" ht="12.75" hidden="false" customHeight="true" outlineLevel="0" collapsed="false"/>
    <row r="2560" customFormat="false" ht="12.75" hidden="false" customHeight="true" outlineLevel="0" collapsed="false"/>
    <row r="2561" customFormat="false" ht="12.75" hidden="false" customHeight="true" outlineLevel="0" collapsed="false"/>
    <row r="2562" customFormat="false" ht="12.75" hidden="false" customHeight="true" outlineLevel="0" collapsed="false"/>
    <row r="2563" customFormat="false" ht="12.75" hidden="false" customHeight="true" outlineLevel="0" collapsed="false"/>
    <row r="2564" customFormat="false" ht="12.75" hidden="false" customHeight="true" outlineLevel="0" collapsed="false"/>
    <row r="2565" customFormat="false" ht="12.75" hidden="false" customHeight="true" outlineLevel="0" collapsed="false"/>
    <row r="2566" customFormat="false" ht="12.75" hidden="false" customHeight="true" outlineLevel="0" collapsed="false"/>
    <row r="2567" customFormat="false" ht="12.75" hidden="false" customHeight="true" outlineLevel="0" collapsed="false"/>
    <row r="2568" customFormat="false" ht="12.75" hidden="false" customHeight="true" outlineLevel="0" collapsed="false"/>
    <row r="2569" customFormat="false" ht="12.75" hidden="false" customHeight="true" outlineLevel="0" collapsed="false"/>
    <row r="2570" customFormat="false" ht="12.75" hidden="false" customHeight="true" outlineLevel="0" collapsed="false"/>
    <row r="2571" customFormat="false" ht="12.75" hidden="false" customHeight="true" outlineLevel="0" collapsed="false"/>
    <row r="2572" customFormat="false" ht="12.75" hidden="false" customHeight="true" outlineLevel="0" collapsed="false"/>
    <row r="2573" customFormat="false" ht="12.75" hidden="false" customHeight="true" outlineLevel="0" collapsed="false"/>
    <row r="2574" customFormat="false" ht="12.75" hidden="false" customHeight="true" outlineLevel="0" collapsed="false"/>
    <row r="2575" customFormat="false" ht="12.75" hidden="false" customHeight="true" outlineLevel="0" collapsed="false"/>
    <row r="2576" customFormat="false" ht="12.75" hidden="false" customHeight="true" outlineLevel="0" collapsed="false"/>
    <row r="2577" customFormat="false" ht="12.75" hidden="false" customHeight="true" outlineLevel="0" collapsed="false"/>
    <row r="2578" customFormat="false" ht="12.75" hidden="false" customHeight="true" outlineLevel="0" collapsed="false"/>
    <row r="2579" customFormat="false" ht="12.75" hidden="false" customHeight="true" outlineLevel="0" collapsed="false"/>
    <row r="2580" customFormat="false" ht="12.75" hidden="false" customHeight="true" outlineLevel="0" collapsed="false"/>
    <row r="2581" customFormat="false" ht="12.75" hidden="false" customHeight="true" outlineLevel="0" collapsed="false"/>
    <row r="2582" customFormat="false" ht="12.75" hidden="false" customHeight="true" outlineLevel="0" collapsed="false"/>
    <row r="2583" customFormat="false" ht="12.75" hidden="false" customHeight="true" outlineLevel="0" collapsed="false"/>
    <row r="2584" customFormat="false" ht="12.75" hidden="false" customHeight="true" outlineLevel="0" collapsed="false"/>
    <row r="2585" customFormat="false" ht="12.75" hidden="false" customHeight="true" outlineLevel="0" collapsed="false"/>
    <row r="2586" customFormat="false" ht="12.75" hidden="false" customHeight="true" outlineLevel="0" collapsed="false"/>
    <row r="2587" customFormat="false" ht="12.75" hidden="false" customHeight="true" outlineLevel="0" collapsed="false"/>
    <row r="2588" customFormat="false" ht="12.75" hidden="false" customHeight="true" outlineLevel="0" collapsed="false"/>
    <row r="2589" customFormat="false" ht="12.75" hidden="false" customHeight="true" outlineLevel="0" collapsed="false"/>
    <row r="2590" customFormat="false" ht="12.75" hidden="false" customHeight="true" outlineLevel="0" collapsed="false"/>
    <row r="2591" customFormat="false" ht="12.75" hidden="false" customHeight="true" outlineLevel="0" collapsed="false"/>
    <row r="2592" customFormat="false" ht="12.75" hidden="false" customHeight="true" outlineLevel="0" collapsed="false"/>
    <row r="2593" customFormat="false" ht="12.75" hidden="false" customHeight="true" outlineLevel="0" collapsed="false"/>
    <row r="2594" customFormat="false" ht="12.75" hidden="false" customHeight="true" outlineLevel="0" collapsed="false"/>
    <row r="2595" customFormat="false" ht="12.75" hidden="false" customHeight="true" outlineLevel="0" collapsed="false"/>
    <row r="2596" customFormat="false" ht="12.75" hidden="false" customHeight="true" outlineLevel="0" collapsed="false"/>
    <row r="2597" customFormat="false" ht="12.75" hidden="false" customHeight="true" outlineLevel="0" collapsed="false"/>
    <row r="2598" customFormat="false" ht="12.75" hidden="false" customHeight="true" outlineLevel="0" collapsed="false"/>
    <row r="2599" customFormat="false" ht="12.75" hidden="false" customHeight="true" outlineLevel="0" collapsed="false"/>
    <row r="2600" customFormat="false" ht="12.75" hidden="false" customHeight="true" outlineLevel="0" collapsed="false"/>
    <row r="2601" customFormat="false" ht="12.75" hidden="false" customHeight="true" outlineLevel="0" collapsed="false"/>
    <row r="2602" customFormat="false" ht="12.75" hidden="false" customHeight="true" outlineLevel="0" collapsed="false"/>
    <row r="2603" customFormat="false" ht="12.75" hidden="false" customHeight="true" outlineLevel="0" collapsed="false"/>
    <row r="2604" customFormat="false" ht="12.75" hidden="false" customHeight="true" outlineLevel="0" collapsed="false"/>
    <row r="2605" customFormat="false" ht="12.75" hidden="false" customHeight="true" outlineLevel="0" collapsed="false"/>
    <row r="2606" customFormat="false" ht="12.75" hidden="false" customHeight="true" outlineLevel="0" collapsed="false"/>
    <row r="2607" customFormat="false" ht="12.75" hidden="false" customHeight="true" outlineLevel="0" collapsed="false"/>
    <row r="2608" customFormat="false" ht="12.75" hidden="false" customHeight="true" outlineLevel="0" collapsed="false"/>
    <row r="2609" customFormat="false" ht="12.75" hidden="false" customHeight="true" outlineLevel="0" collapsed="false"/>
    <row r="2610" customFormat="false" ht="12.75" hidden="false" customHeight="true" outlineLevel="0" collapsed="false"/>
    <row r="2611" customFormat="false" ht="12.75" hidden="false" customHeight="true" outlineLevel="0" collapsed="false"/>
    <row r="2612" customFormat="false" ht="12.75" hidden="false" customHeight="true" outlineLevel="0" collapsed="false"/>
    <row r="2613" customFormat="false" ht="12.75" hidden="false" customHeight="true" outlineLevel="0" collapsed="false"/>
    <row r="2614" customFormat="false" ht="12.75" hidden="false" customHeight="true" outlineLevel="0" collapsed="false"/>
    <row r="2615" customFormat="false" ht="12.75" hidden="false" customHeight="true" outlineLevel="0" collapsed="false"/>
    <row r="2616" customFormat="false" ht="12.75" hidden="false" customHeight="true" outlineLevel="0" collapsed="false"/>
    <row r="2617" customFormat="false" ht="12.75" hidden="false" customHeight="true" outlineLevel="0" collapsed="false"/>
    <row r="2618" customFormat="false" ht="12.75" hidden="false" customHeight="true" outlineLevel="0" collapsed="false"/>
    <row r="2619" customFormat="false" ht="12.75" hidden="false" customHeight="true" outlineLevel="0" collapsed="false"/>
    <row r="2620" customFormat="false" ht="12.75" hidden="false" customHeight="true" outlineLevel="0" collapsed="false"/>
    <row r="2621" customFormat="false" ht="12.75" hidden="false" customHeight="true" outlineLevel="0" collapsed="false"/>
    <row r="2622" customFormat="false" ht="12.75" hidden="false" customHeight="true" outlineLevel="0" collapsed="false"/>
    <row r="2623" customFormat="false" ht="12.75" hidden="false" customHeight="true" outlineLevel="0" collapsed="false"/>
    <row r="2624" customFormat="false" ht="12.75" hidden="false" customHeight="true" outlineLevel="0" collapsed="false"/>
    <row r="2625" customFormat="false" ht="12.75" hidden="false" customHeight="true" outlineLevel="0" collapsed="false"/>
    <row r="2626" customFormat="false" ht="12.75" hidden="false" customHeight="true" outlineLevel="0" collapsed="false"/>
    <row r="2627" customFormat="false" ht="12.75" hidden="false" customHeight="true" outlineLevel="0" collapsed="false"/>
    <row r="2628" customFormat="false" ht="12.75" hidden="false" customHeight="true" outlineLevel="0" collapsed="false"/>
    <row r="2629" customFormat="false" ht="12.75" hidden="false" customHeight="true" outlineLevel="0" collapsed="false"/>
    <row r="2630" customFormat="false" ht="12.75" hidden="false" customHeight="true" outlineLevel="0" collapsed="false"/>
    <row r="2631" customFormat="false" ht="12.75" hidden="false" customHeight="true" outlineLevel="0" collapsed="false"/>
    <row r="2632" customFormat="false" ht="12.75" hidden="false" customHeight="true" outlineLevel="0" collapsed="false"/>
    <row r="2633" customFormat="false" ht="12.75" hidden="false" customHeight="true" outlineLevel="0" collapsed="false"/>
    <row r="2634" customFormat="false" ht="12.75" hidden="false" customHeight="true" outlineLevel="0" collapsed="false"/>
    <row r="2635" customFormat="false" ht="12.75" hidden="false" customHeight="true" outlineLevel="0" collapsed="false"/>
    <row r="2636" customFormat="false" ht="12.75" hidden="false" customHeight="true" outlineLevel="0" collapsed="false"/>
    <row r="2637" customFormat="false" ht="12.75" hidden="false" customHeight="true" outlineLevel="0" collapsed="false"/>
    <row r="2638" customFormat="false" ht="12.75" hidden="false" customHeight="true" outlineLevel="0" collapsed="false"/>
    <row r="2639" customFormat="false" ht="12.75" hidden="false" customHeight="true" outlineLevel="0" collapsed="false"/>
    <row r="2640" customFormat="false" ht="12.75" hidden="false" customHeight="true" outlineLevel="0" collapsed="false"/>
    <row r="2641" customFormat="false" ht="12.75" hidden="false" customHeight="true" outlineLevel="0" collapsed="false"/>
    <row r="2642" customFormat="false" ht="12.75" hidden="false" customHeight="true" outlineLevel="0" collapsed="false"/>
    <row r="2643" customFormat="false" ht="12.75" hidden="false" customHeight="true" outlineLevel="0" collapsed="false"/>
    <row r="2644" customFormat="false" ht="12.75" hidden="false" customHeight="true" outlineLevel="0" collapsed="false"/>
    <row r="2645" customFormat="false" ht="12.75" hidden="false" customHeight="true" outlineLevel="0" collapsed="false"/>
    <row r="2646" customFormat="false" ht="12.75" hidden="false" customHeight="true" outlineLevel="0" collapsed="false"/>
    <row r="2647" customFormat="false" ht="12.75" hidden="false" customHeight="true" outlineLevel="0" collapsed="false"/>
    <row r="2648" customFormat="false" ht="12.75" hidden="false" customHeight="true" outlineLevel="0" collapsed="false"/>
    <row r="2649" customFormat="false" ht="12.75" hidden="false" customHeight="true" outlineLevel="0" collapsed="false"/>
    <row r="2650" customFormat="false" ht="12.75" hidden="false" customHeight="true" outlineLevel="0" collapsed="false"/>
    <row r="2651" customFormat="false" ht="12.75" hidden="false" customHeight="true" outlineLevel="0" collapsed="false"/>
    <row r="2652" customFormat="false" ht="12.75" hidden="false" customHeight="true" outlineLevel="0" collapsed="false"/>
    <row r="2653" customFormat="false" ht="12.75" hidden="false" customHeight="true" outlineLevel="0" collapsed="false"/>
    <row r="2654" customFormat="false" ht="12.75" hidden="false" customHeight="true" outlineLevel="0" collapsed="false"/>
    <row r="2655" customFormat="false" ht="12.75" hidden="false" customHeight="true" outlineLevel="0" collapsed="false"/>
    <row r="2656" customFormat="false" ht="12.75" hidden="false" customHeight="true" outlineLevel="0" collapsed="false"/>
    <row r="2657" customFormat="false" ht="12.75" hidden="false" customHeight="true" outlineLevel="0" collapsed="false"/>
    <row r="2658" customFormat="false" ht="12.75" hidden="false" customHeight="true" outlineLevel="0" collapsed="false"/>
    <row r="2659" customFormat="false" ht="12.75" hidden="false" customHeight="true" outlineLevel="0" collapsed="false"/>
    <row r="2660" customFormat="false" ht="12.75" hidden="false" customHeight="true" outlineLevel="0" collapsed="false"/>
    <row r="2661" customFormat="false" ht="12.75" hidden="false" customHeight="true" outlineLevel="0" collapsed="false"/>
    <row r="2662" customFormat="false" ht="12.75" hidden="false" customHeight="true" outlineLevel="0" collapsed="false"/>
    <row r="2663" customFormat="false" ht="12.75" hidden="false" customHeight="true" outlineLevel="0" collapsed="false"/>
    <row r="2664" customFormat="false" ht="12.75" hidden="false" customHeight="true" outlineLevel="0" collapsed="false"/>
    <row r="2665" customFormat="false" ht="12.75" hidden="false" customHeight="true" outlineLevel="0" collapsed="false"/>
    <row r="2666" customFormat="false" ht="12.75" hidden="false" customHeight="true" outlineLevel="0" collapsed="false"/>
    <row r="2667" customFormat="false" ht="12.75" hidden="false" customHeight="true" outlineLevel="0" collapsed="false"/>
    <row r="2668" customFormat="false" ht="12.75" hidden="false" customHeight="true" outlineLevel="0" collapsed="false"/>
    <row r="2669" customFormat="false" ht="12.75" hidden="false" customHeight="true" outlineLevel="0" collapsed="false"/>
    <row r="2670" customFormat="false" ht="12.75" hidden="false" customHeight="true" outlineLevel="0" collapsed="false"/>
    <row r="2671" customFormat="false" ht="12.75" hidden="false" customHeight="true" outlineLevel="0" collapsed="false"/>
    <row r="2672" customFormat="false" ht="12.75" hidden="false" customHeight="true" outlineLevel="0" collapsed="false"/>
    <row r="2673" customFormat="false" ht="12.75" hidden="false" customHeight="true" outlineLevel="0" collapsed="false"/>
    <row r="2674" customFormat="false" ht="12.75" hidden="false" customHeight="true" outlineLevel="0" collapsed="false"/>
    <row r="2675" customFormat="false" ht="12.75" hidden="false" customHeight="true" outlineLevel="0" collapsed="false"/>
    <row r="2676" customFormat="false" ht="12.75" hidden="false" customHeight="true" outlineLevel="0" collapsed="false"/>
    <row r="2677" customFormat="false" ht="12.75" hidden="false" customHeight="true" outlineLevel="0" collapsed="false"/>
    <row r="2678" customFormat="false" ht="12.75" hidden="false" customHeight="true" outlineLevel="0" collapsed="false"/>
    <row r="2679" customFormat="false" ht="12.75" hidden="false" customHeight="true" outlineLevel="0" collapsed="false"/>
    <row r="2680" customFormat="false" ht="12.75" hidden="false" customHeight="true" outlineLevel="0" collapsed="false"/>
    <row r="2681" customFormat="false" ht="12.75" hidden="false" customHeight="true" outlineLevel="0" collapsed="false"/>
    <row r="2682" customFormat="false" ht="12.75" hidden="false" customHeight="true" outlineLevel="0" collapsed="false"/>
    <row r="2683" customFormat="false" ht="12.75" hidden="false" customHeight="true" outlineLevel="0" collapsed="false"/>
    <row r="2684" customFormat="false" ht="12.75" hidden="false" customHeight="true" outlineLevel="0" collapsed="false"/>
    <row r="2685" customFormat="false" ht="12.75" hidden="false" customHeight="true" outlineLevel="0" collapsed="false"/>
    <row r="2686" customFormat="false" ht="12.75" hidden="false" customHeight="true" outlineLevel="0" collapsed="false"/>
    <row r="2687" customFormat="false" ht="12.75" hidden="false" customHeight="true" outlineLevel="0" collapsed="false"/>
    <row r="2688" customFormat="false" ht="12.75" hidden="false" customHeight="true" outlineLevel="0" collapsed="false"/>
    <row r="2689" customFormat="false" ht="12.75" hidden="false" customHeight="true" outlineLevel="0" collapsed="false"/>
    <row r="2690" customFormat="false" ht="12.75" hidden="false" customHeight="true" outlineLevel="0" collapsed="false"/>
    <row r="2691" customFormat="false" ht="12.75" hidden="false" customHeight="true" outlineLevel="0" collapsed="false"/>
    <row r="2692" customFormat="false" ht="12.75" hidden="false" customHeight="true" outlineLevel="0" collapsed="false"/>
    <row r="2693" customFormat="false" ht="12.75" hidden="false" customHeight="true" outlineLevel="0" collapsed="false"/>
    <row r="2694" customFormat="false" ht="12.75" hidden="false" customHeight="true" outlineLevel="0" collapsed="false"/>
    <row r="2695" customFormat="false" ht="12.75" hidden="false" customHeight="true" outlineLevel="0" collapsed="false"/>
    <row r="2696" customFormat="false" ht="12.75" hidden="false" customHeight="true" outlineLevel="0" collapsed="false"/>
    <row r="2697" customFormat="false" ht="12.75" hidden="false" customHeight="true" outlineLevel="0" collapsed="false"/>
    <row r="2698" customFormat="false" ht="12.75" hidden="false" customHeight="true" outlineLevel="0" collapsed="false"/>
    <row r="2699" customFormat="false" ht="12.75" hidden="false" customHeight="true" outlineLevel="0" collapsed="false"/>
    <row r="2700" customFormat="false" ht="12.75" hidden="false" customHeight="true" outlineLevel="0" collapsed="false"/>
    <row r="2701" customFormat="false" ht="12.75" hidden="false" customHeight="true" outlineLevel="0" collapsed="false"/>
    <row r="2702" customFormat="false" ht="12.75" hidden="false" customHeight="true" outlineLevel="0" collapsed="false"/>
    <row r="2703" customFormat="false" ht="12.75" hidden="false" customHeight="true" outlineLevel="0" collapsed="false"/>
    <row r="2704" customFormat="false" ht="12.75" hidden="false" customHeight="true" outlineLevel="0" collapsed="false"/>
    <row r="2705" customFormat="false" ht="12.75" hidden="false" customHeight="true" outlineLevel="0" collapsed="false"/>
    <row r="2706" customFormat="false" ht="12.75" hidden="false" customHeight="true" outlineLevel="0" collapsed="false"/>
    <row r="2707" customFormat="false" ht="12.75" hidden="false" customHeight="true" outlineLevel="0" collapsed="false"/>
    <row r="2708" customFormat="false" ht="12.75" hidden="false" customHeight="true" outlineLevel="0" collapsed="false"/>
    <row r="2709" customFormat="false" ht="12.75" hidden="false" customHeight="true" outlineLevel="0" collapsed="false"/>
    <row r="2710" customFormat="false" ht="12.75" hidden="false" customHeight="true" outlineLevel="0" collapsed="false"/>
    <row r="2711" customFormat="false" ht="12.75" hidden="false" customHeight="true" outlineLevel="0" collapsed="false"/>
    <row r="2712" customFormat="false" ht="12.75" hidden="false" customHeight="true" outlineLevel="0" collapsed="false"/>
    <row r="2713" customFormat="false" ht="12.75" hidden="false" customHeight="true" outlineLevel="0" collapsed="false"/>
    <row r="2714" customFormat="false" ht="12.75" hidden="false" customHeight="true" outlineLevel="0" collapsed="false"/>
    <row r="2715" customFormat="false" ht="12.75" hidden="false" customHeight="true" outlineLevel="0" collapsed="false"/>
    <row r="2716" customFormat="false" ht="12.75" hidden="false" customHeight="true" outlineLevel="0" collapsed="false"/>
    <row r="2717" customFormat="false" ht="12.75" hidden="false" customHeight="true" outlineLevel="0" collapsed="false"/>
    <row r="2718" customFormat="false" ht="12.75" hidden="false" customHeight="true" outlineLevel="0" collapsed="false"/>
    <row r="2719" customFormat="false" ht="12.75" hidden="false" customHeight="true" outlineLevel="0" collapsed="false"/>
    <row r="2720" customFormat="false" ht="12.75" hidden="false" customHeight="true" outlineLevel="0" collapsed="false"/>
    <row r="2721" customFormat="false" ht="12.75" hidden="false" customHeight="true" outlineLevel="0" collapsed="false"/>
    <row r="2722" customFormat="false" ht="12.75" hidden="false" customHeight="true" outlineLevel="0" collapsed="false"/>
    <row r="2723" customFormat="false" ht="12.75" hidden="false" customHeight="true" outlineLevel="0" collapsed="false"/>
    <row r="2724" customFormat="false" ht="12.75" hidden="false" customHeight="true" outlineLevel="0" collapsed="false"/>
    <row r="2725" customFormat="false" ht="12.75" hidden="false" customHeight="true" outlineLevel="0" collapsed="false"/>
    <row r="2726" customFormat="false" ht="12.75" hidden="false" customHeight="true" outlineLevel="0" collapsed="false"/>
    <row r="2727" customFormat="false" ht="12.75" hidden="false" customHeight="true" outlineLevel="0" collapsed="false"/>
    <row r="2728" customFormat="false" ht="12.75" hidden="false" customHeight="true" outlineLevel="0" collapsed="false"/>
    <row r="2729" customFormat="false" ht="12.75" hidden="false" customHeight="true" outlineLevel="0" collapsed="false"/>
    <row r="2730" customFormat="false" ht="12.75" hidden="false" customHeight="true" outlineLevel="0" collapsed="false"/>
    <row r="2731" customFormat="false" ht="12.75" hidden="false" customHeight="true" outlineLevel="0" collapsed="false"/>
    <row r="2732" customFormat="false" ht="12.75" hidden="false" customHeight="true" outlineLevel="0" collapsed="false"/>
    <row r="2733" customFormat="false" ht="12.75" hidden="false" customHeight="true" outlineLevel="0" collapsed="false"/>
    <row r="2734" customFormat="false" ht="12.75" hidden="false" customHeight="true" outlineLevel="0" collapsed="false"/>
    <row r="2735" customFormat="false" ht="12.75" hidden="false" customHeight="true" outlineLevel="0" collapsed="false"/>
    <row r="2736" customFormat="false" ht="12.75" hidden="false" customHeight="true" outlineLevel="0" collapsed="false"/>
    <row r="2737" customFormat="false" ht="12.75" hidden="false" customHeight="true" outlineLevel="0" collapsed="false"/>
    <row r="2738" customFormat="false" ht="12.75" hidden="false" customHeight="true" outlineLevel="0" collapsed="false"/>
    <row r="2739" customFormat="false" ht="12.75" hidden="false" customHeight="true" outlineLevel="0" collapsed="false"/>
    <row r="2740" customFormat="false" ht="12.75" hidden="false" customHeight="true" outlineLevel="0" collapsed="false"/>
    <row r="2741" customFormat="false" ht="12.75" hidden="false" customHeight="true" outlineLevel="0" collapsed="false"/>
    <row r="2742" customFormat="false" ht="12.75" hidden="false" customHeight="true" outlineLevel="0" collapsed="false"/>
    <row r="2743" customFormat="false" ht="12.75" hidden="false" customHeight="true" outlineLevel="0" collapsed="false"/>
    <row r="2744" customFormat="false" ht="12.75" hidden="false" customHeight="true" outlineLevel="0" collapsed="false"/>
    <row r="2745" customFormat="false" ht="12.75" hidden="false" customHeight="true" outlineLevel="0" collapsed="false"/>
    <row r="2746" customFormat="false" ht="12.75" hidden="false" customHeight="true" outlineLevel="0" collapsed="false"/>
    <row r="2747" customFormat="false" ht="12.75" hidden="false" customHeight="true" outlineLevel="0" collapsed="false"/>
    <row r="2748" customFormat="false" ht="12.75" hidden="false" customHeight="true" outlineLevel="0" collapsed="false"/>
    <row r="2749" customFormat="false" ht="12.75" hidden="false" customHeight="true" outlineLevel="0" collapsed="false"/>
    <row r="2750" customFormat="false" ht="12.75" hidden="false" customHeight="true" outlineLevel="0" collapsed="false"/>
    <row r="2751" customFormat="false" ht="12.75" hidden="false" customHeight="true" outlineLevel="0" collapsed="false"/>
    <row r="2752" customFormat="false" ht="12.75" hidden="false" customHeight="true" outlineLevel="0" collapsed="false"/>
    <row r="2753" customFormat="false" ht="12.75" hidden="false" customHeight="true" outlineLevel="0" collapsed="false"/>
    <row r="2754" customFormat="false" ht="12.75" hidden="false" customHeight="true" outlineLevel="0" collapsed="false"/>
    <row r="2755" customFormat="false" ht="12.75" hidden="false" customHeight="true" outlineLevel="0" collapsed="false"/>
    <row r="2756" customFormat="false" ht="12.75" hidden="false" customHeight="true" outlineLevel="0" collapsed="false"/>
    <row r="2757" customFormat="false" ht="12.75" hidden="false" customHeight="true" outlineLevel="0" collapsed="false"/>
    <row r="2758" customFormat="false" ht="12.75" hidden="false" customHeight="true" outlineLevel="0" collapsed="false"/>
    <row r="2759" customFormat="false" ht="12.75" hidden="false" customHeight="true" outlineLevel="0" collapsed="false"/>
    <row r="2760" customFormat="false" ht="12.75" hidden="false" customHeight="true" outlineLevel="0" collapsed="false"/>
    <row r="2761" customFormat="false" ht="12.75" hidden="false" customHeight="true" outlineLevel="0" collapsed="false"/>
    <row r="2762" customFormat="false" ht="12.75" hidden="false" customHeight="true" outlineLevel="0" collapsed="false"/>
    <row r="2763" customFormat="false" ht="12.75" hidden="false" customHeight="true" outlineLevel="0" collapsed="false"/>
    <row r="2764" customFormat="false" ht="12.75" hidden="false" customHeight="true" outlineLevel="0" collapsed="false"/>
    <row r="2765" customFormat="false" ht="12.75" hidden="false" customHeight="true" outlineLevel="0" collapsed="false"/>
    <row r="2766" customFormat="false" ht="12.75" hidden="false" customHeight="true" outlineLevel="0" collapsed="false"/>
    <row r="2767" customFormat="false" ht="12.75" hidden="false" customHeight="true" outlineLevel="0" collapsed="false"/>
    <row r="2768" customFormat="false" ht="12.75" hidden="false" customHeight="true" outlineLevel="0" collapsed="false"/>
    <row r="2769" customFormat="false" ht="12.75" hidden="false" customHeight="true" outlineLevel="0" collapsed="false"/>
    <row r="2770" customFormat="false" ht="12.75" hidden="false" customHeight="true" outlineLevel="0" collapsed="false"/>
    <row r="2771" customFormat="false" ht="12.75" hidden="false" customHeight="true" outlineLevel="0" collapsed="false"/>
    <row r="2772" customFormat="false" ht="12.75" hidden="false" customHeight="true" outlineLevel="0" collapsed="false"/>
    <row r="2773" customFormat="false" ht="12.75" hidden="false" customHeight="true" outlineLevel="0" collapsed="false"/>
    <row r="2774" customFormat="false" ht="12.75" hidden="false" customHeight="true" outlineLevel="0" collapsed="false"/>
    <row r="2775" customFormat="false" ht="12.75" hidden="false" customHeight="true" outlineLevel="0" collapsed="false"/>
    <row r="2776" customFormat="false" ht="12.75" hidden="false" customHeight="true" outlineLevel="0" collapsed="false"/>
    <row r="2777" customFormat="false" ht="12.75" hidden="false" customHeight="true" outlineLevel="0" collapsed="false"/>
    <row r="2778" customFormat="false" ht="12.75" hidden="false" customHeight="true" outlineLevel="0" collapsed="false"/>
    <row r="2779" customFormat="false" ht="12.75" hidden="false" customHeight="true" outlineLevel="0" collapsed="false"/>
    <row r="2780" customFormat="false" ht="12.75" hidden="false" customHeight="true" outlineLevel="0" collapsed="false"/>
    <row r="2781" customFormat="false" ht="12.75" hidden="false" customHeight="true" outlineLevel="0" collapsed="false"/>
    <row r="2782" customFormat="false" ht="12.75" hidden="false" customHeight="true" outlineLevel="0" collapsed="false"/>
    <row r="2783" customFormat="false" ht="12.75" hidden="false" customHeight="true" outlineLevel="0" collapsed="false"/>
    <row r="2784" customFormat="false" ht="12.75" hidden="false" customHeight="true" outlineLevel="0" collapsed="false"/>
    <row r="2785" customFormat="false" ht="12.75" hidden="false" customHeight="true" outlineLevel="0" collapsed="false"/>
    <row r="2786" customFormat="false" ht="12.75" hidden="false" customHeight="true" outlineLevel="0" collapsed="false"/>
    <row r="2787" customFormat="false" ht="12.75" hidden="false" customHeight="true" outlineLevel="0" collapsed="false"/>
    <row r="2788" customFormat="false" ht="12.75" hidden="false" customHeight="true" outlineLevel="0" collapsed="false"/>
    <row r="2789" customFormat="false" ht="12.75" hidden="false" customHeight="true" outlineLevel="0" collapsed="false"/>
    <row r="2790" customFormat="false" ht="12.75" hidden="false" customHeight="true" outlineLevel="0" collapsed="false"/>
    <row r="2791" customFormat="false" ht="12.75" hidden="false" customHeight="true" outlineLevel="0" collapsed="false"/>
    <row r="2792" customFormat="false" ht="12.75" hidden="false" customHeight="true" outlineLevel="0" collapsed="false"/>
    <row r="2793" customFormat="false" ht="12.75" hidden="false" customHeight="true" outlineLevel="0" collapsed="false"/>
    <row r="2794" customFormat="false" ht="12.75" hidden="false" customHeight="true" outlineLevel="0" collapsed="false"/>
    <row r="2795" customFormat="false" ht="12.75" hidden="false" customHeight="true" outlineLevel="0" collapsed="false"/>
    <row r="2796" customFormat="false" ht="12.75" hidden="false" customHeight="true" outlineLevel="0" collapsed="false"/>
    <row r="2797" customFormat="false" ht="12.75" hidden="false" customHeight="true" outlineLevel="0" collapsed="false"/>
    <row r="2798" customFormat="false" ht="12.75" hidden="false" customHeight="true" outlineLevel="0" collapsed="false"/>
    <row r="2799" customFormat="false" ht="12.75" hidden="false" customHeight="true" outlineLevel="0" collapsed="false"/>
    <row r="2800" customFormat="false" ht="12.75" hidden="false" customHeight="true" outlineLevel="0" collapsed="false"/>
    <row r="2801" customFormat="false" ht="12.75" hidden="false" customHeight="true" outlineLevel="0" collapsed="false"/>
    <row r="2802" customFormat="false" ht="12.75" hidden="false" customHeight="true" outlineLevel="0" collapsed="false"/>
    <row r="2803" customFormat="false" ht="12.75" hidden="false" customHeight="true" outlineLevel="0" collapsed="false"/>
    <row r="2804" customFormat="false" ht="12.75" hidden="false" customHeight="true" outlineLevel="0" collapsed="false"/>
    <row r="2805" customFormat="false" ht="12.75" hidden="false" customHeight="true" outlineLevel="0" collapsed="false"/>
    <row r="2806" customFormat="false" ht="12.75" hidden="false" customHeight="true" outlineLevel="0" collapsed="false"/>
    <row r="2807" customFormat="false" ht="12.75" hidden="false" customHeight="true" outlineLevel="0" collapsed="false"/>
    <row r="2808" customFormat="false" ht="12.75" hidden="false" customHeight="true" outlineLevel="0" collapsed="false"/>
    <row r="2809" customFormat="false" ht="12.75" hidden="false" customHeight="true" outlineLevel="0" collapsed="false"/>
    <row r="2810" customFormat="false" ht="12.75" hidden="false" customHeight="true" outlineLevel="0" collapsed="false"/>
    <row r="2811" customFormat="false" ht="12.75" hidden="false" customHeight="true" outlineLevel="0" collapsed="false"/>
    <row r="2812" customFormat="false" ht="12.75" hidden="false" customHeight="true" outlineLevel="0" collapsed="false"/>
    <row r="2813" customFormat="false" ht="12.75" hidden="false" customHeight="true" outlineLevel="0" collapsed="false"/>
    <row r="2814" customFormat="false" ht="12.75" hidden="false" customHeight="true" outlineLevel="0" collapsed="false"/>
    <row r="2815" customFormat="false" ht="12.75" hidden="false" customHeight="true" outlineLevel="0" collapsed="false"/>
    <row r="2816" customFormat="false" ht="12.75" hidden="false" customHeight="true" outlineLevel="0" collapsed="false"/>
    <row r="2817" customFormat="false" ht="12.75" hidden="false" customHeight="true" outlineLevel="0" collapsed="false"/>
    <row r="2818" customFormat="false" ht="12.75" hidden="false" customHeight="true" outlineLevel="0" collapsed="false"/>
    <row r="2819" customFormat="false" ht="12.75" hidden="false" customHeight="true" outlineLevel="0" collapsed="false"/>
    <row r="2820" customFormat="false" ht="12.75" hidden="false" customHeight="true" outlineLevel="0" collapsed="false"/>
    <row r="2821" customFormat="false" ht="12.75" hidden="false" customHeight="true" outlineLevel="0" collapsed="false"/>
    <row r="2822" customFormat="false" ht="12.75" hidden="false" customHeight="true" outlineLevel="0" collapsed="false"/>
    <row r="2823" customFormat="false" ht="12.75" hidden="false" customHeight="true" outlineLevel="0" collapsed="false"/>
    <row r="2824" customFormat="false" ht="12.75" hidden="false" customHeight="true" outlineLevel="0" collapsed="false"/>
    <row r="2825" customFormat="false" ht="12.75" hidden="false" customHeight="true" outlineLevel="0" collapsed="false"/>
    <row r="2826" customFormat="false" ht="12.75" hidden="false" customHeight="true" outlineLevel="0" collapsed="false"/>
    <row r="2827" customFormat="false" ht="12.75" hidden="false" customHeight="true" outlineLevel="0" collapsed="false"/>
    <row r="2828" customFormat="false" ht="12.75" hidden="false" customHeight="true" outlineLevel="0" collapsed="false"/>
    <row r="2829" customFormat="false" ht="12.75" hidden="false" customHeight="true" outlineLevel="0" collapsed="false"/>
    <row r="2830" customFormat="false" ht="12.75" hidden="false" customHeight="true" outlineLevel="0" collapsed="false"/>
    <row r="2831" customFormat="false" ht="12.75" hidden="false" customHeight="true" outlineLevel="0" collapsed="false"/>
    <row r="2832" customFormat="false" ht="12.75" hidden="false" customHeight="true" outlineLevel="0" collapsed="false"/>
    <row r="2833" customFormat="false" ht="12.75" hidden="false" customHeight="true" outlineLevel="0" collapsed="false"/>
    <row r="2834" customFormat="false" ht="12.75" hidden="false" customHeight="true" outlineLevel="0" collapsed="false"/>
    <row r="2835" customFormat="false" ht="12.75" hidden="false" customHeight="true" outlineLevel="0" collapsed="false"/>
    <row r="2836" customFormat="false" ht="12.75" hidden="false" customHeight="true" outlineLevel="0" collapsed="false"/>
    <row r="2837" customFormat="false" ht="12.75" hidden="false" customHeight="true" outlineLevel="0" collapsed="false"/>
    <row r="2838" customFormat="false" ht="12.75" hidden="false" customHeight="true" outlineLevel="0" collapsed="false"/>
    <row r="2839" customFormat="false" ht="12.75" hidden="false" customHeight="true" outlineLevel="0" collapsed="false"/>
    <row r="2840" customFormat="false" ht="12.75" hidden="false" customHeight="true" outlineLevel="0" collapsed="false"/>
    <row r="2841" customFormat="false" ht="12.75" hidden="false" customHeight="true" outlineLevel="0" collapsed="false"/>
    <row r="2842" customFormat="false" ht="12.75" hidden="false" customHeight="true" outlineLevel="0" collapsed="false"/>
    <row r="2843" customFormat="false" ht="12.75" hidden="false" customHeight="true" outlineLevel="0" collapsed="false"/>
    <row r="2844" customFormat="false" ht="12.75" hidden="false" customHeight="true" outlineLevel="0" collapsed="false"/>
    <row r="2845" customFormat="false" ht="12.75" hidden="false" customHeight="true" outlineLevel="0" collapsed="false"/>
    <row r="2846" customFormat="false" ht="12.75" hidden="false" customHeight="true" outlineLevel="0" collapsed="false"/>
    <row r="2847" customFormat="false" ht="12.75" hidden="false" customHeight="true" outlineLevel="0" collapsed="false"/>
    <row r="2848" customFormat="false" ht="12.75" hidden="false" customHeight="true" outlineLevel="0" collapsed="false"/>
    <row r="2849" customFormat="false" ht="12.75" hidden="false" customHeight="true" outlineLevel="0" collapsed="false"/>
    <row r="2850" customFormat="false" ht="12.75" hidden="false" customHeight="true" outlineLevel="0" collapsed="false"/>
    <row r="2851" customFormat="false" ht="12.75" hidden="false" customHeight="true" outlineLevel="0" collapsed="false"/>
    <row r="2852" customFormat="false" ht="12.75" hidden="false" customHeight="true" outlineLevel="0" collapsed="false"/>
    <row r="2853" customFormat="false" ht="12.75" hidden="false" customHeight="true" outlineLevel="0" collapsed="false"/>
    <row r="2854" customFormat="false" ht="12.75" hidden="false" customHeight="true" outlineLevel="0" collapsed="false"/>
    <row r="2855" customFormat="false" ht="12.75" hidden="false" customHeight="true" outlineLevel="0" collapsed="false"/>
    <row r="2856" customFormat="false" ht="12.75" hidden="false" customHeight="true" outlineLevel="0" collapsed="false"/>
    <row r="2857" customFormat="false" ht="12.75" hidden="false" customHeight="true" outlineLevel="0" collapsed="false"/>
    <row r="2858" customFormat="false" ht="12.75" hidden="false" customHeight="true" outlineLevel="0" collapsed="false"/>
    <row r="2859" customFormat="false" ht="12.75" hidden="false" customHeight="true" outlineLevel="0" collapsed="false"/>
    <row r="2860" customFormat="false" ht="12.75" hidden="false" customHeight="true" outlineLevel="0" collapsed="false"/>
    <row r="2861" customFormat="false" ht="12.75" hidden="false" customHeight="true" outlineLevel="0" collapsed="false"/>
    <row r="2862" customFormat="false" ht="12.75" hidden="false" customHeight="true" outlineLevel="0" collapsed="false"/>
    <row r="2863" customFormat="false" ht="12.75" hidden="false" customHeight="true" outlineLevel="0" collapsed="false"/>
    <row r="2864" customFormat="false" ht="12.75" hidden="false" customHeight="true" outlineLevel="0" collapsed="false"/>
    <row r="2865" customFormat="false" ht="12.75" hidden="false" customHeight="true" outlineLevel="0" collapsed="false"/>
    <row r="2866" customFormat="false" ht="12.75" hidden="false" customHeight="true" outlineLevel="0" collapsed="false"/>
    <row r="2867" customFormat="false" ht="12.75" hidden="false" customHeight="true" outlineLevel="0" collapsed="false"/>
    <row r="2868" customFormat="false" ht="12.75" hidden="false" customHeight="true" outlineLevel="0" collapsed="false"/>
    <row r="2869" customFormat="false" ht="12.75" hidden="false" customHeight="true" outlineLevel="0" collapsed="false"/>
    <row r="2870" customFormat="false" ht="12.75" hidden="false" customHeight="true" outlineLevel="0" collapsed="false"/>
    <row r="2871" customFormat="false" ht="12.75" hidden="false" customHeight="true" outlineLevel="0" collapsed="false"/>
    <row r="2872" customFormat="false" ht="12.75" hidden="false" customHeight="true" outlineLevel="0" collapsed="false"/>
    <row r="2873" customFormat="false" ht="12.75" hidden="false" customHeight="true" outlineLevel="0" collapsed="false"/>
    <row r="2874" customFormat="false" ht="12.75" hidden="false" customHeight="true" outlineLevel="0" collapsed="false"/>
    <row r="2875" customFormat="false" ht="12.75" hidden="false" customHeight="true" outlineLevel="0" collapsed="false"/>
    <row r="2876" customFormat="false" ht="12.75" hidden="false" customHeight="true" outlineLevel="0" collapsed="false"/>
    <row r="2877" customFormat="false" ht="12.75" hidden="false" customHeight="true" outlineLevel="0" collapsed="false"/>
    <row r="2878" customFormat="false" ht="12.75" hidden="false" customHeight="true" outlineLevel="0" collapsed="false"/>
    <row r="2879" customFormat="false" ht="12.75" hidden="false" customHeight="true" outlineLevel="0" collapsed="false"/>
    <row r="2880" customFormat="false" ht="12.75" hidden="false" customHeight="true" outlineLevel="0" collapsed="false"/>
    <row r="2881" customFormat="false" ht="12.75" hidden="false" customHeight="true" outlineLevel="0" collapsed="false"/>
    <row r="2882" customFormat="false" ht="12.75" hidden="false" customHeight="true" outlineLevel="0" collapsed="false"/>
    <row r="2883" customFormat="false" ht="12.75" hidden="false" customHeight="true" outlineLevel="0" collapsed="false"/>
    <row r="2884" customFormat="false" ht="12.75" hidden="false" customHeight="true" outlineLevel="0" collapsed="false"/>
    <row r="2885" customFormat="false" ht="12.75" hidden="false" customHeight="true" outlineLevel="0" collapsed="false"/>
    <row r="2886" customFormat="false" ht="12.75" hidden="false" customHeight="true" outlineLevel="0" collapsed="false"/>
    <row r="2887" customFormat="false" ht="12.75" hidden="false" customHeight="true" outlineLevel="0" collapsed="false"/>
    <row r="2888" customFormat="false" ht="12.75" hidden="false" customHeight="true" outlineLevel="0" collapsed="false"/>
    <row r="2889" customFormat="false" ht="12.75" hidden="false" customHeight="true" outlineLevel="0" collapsed="false"/>
    <row r="2890" customFormat="false" ht="12.75" hidden="false" customHeight="true" outlineLevel="0" collapsed="false"/>
    <row r="2891" customFormat="false" ht="12.75" hidden="false" customHeight="true" outlineLevel="0" collapsed="false"/>
    <row r="2892" customFormat="false" ht="12.75" hidden="false" customHeight="true" outlineLevel="0" collapsed="false"/>
    <row r="2893" customFormat="false" ht="12.75" hidden="false" customHeight="true" outlineLevel="0" collapsed="false"/>
    <row r="2894" customFormat="false" ht="12.75" hidden="false" customHeight="true" outlineLevel="0" collapsed="false"/>
    <row r="2895" customFormat="false" ht="12.75" hidden="false" customHeight="true" outlineLevel="0" collapsed="false"/>
    <row r="2896" customFormat="false" ht="12.75" hidden="false" customHeight="true" outlineLevel="0" collapsed="false"/>
    <row r="2897" customFormat="false" ht="12.75" hidden="false" customHeight="true" outlineLevel="0" collapsed="false"/>
    <row r="2898" customFormat="false" ht="12.75" hidden="false" customHeight="true" outlineLevel="0" collapsed="false"/>
    <row r="2899" customFormat="false" ht="12.75" hidden="false" customHeight="true" outlineLevel="0" collapsed="false"/>
    <row r="2900" customFormat="false" ht="12.75" hidden="false" customHeight="true" outlineLevel="0" collapsed="false"/>
    <row r="2901" customFormat="false" ht="12.75" hidden="false" customHeight="true" outlineLevel="0" collapsed="false"/>
    <row r="2902" customFormat="false" ht="12.75" hidden="false" customHeight="true" outlineLevel="0" collapsed="false"/>
    <row r="2903" customFormat="false" ht="12.75" hidden="false" customHeight="true" outlineLevel="0" collapsed="false"/>
    <row r="2904" customFormat="false" ht="12.75" hidden="false" customHeight="true" outlineLevel="0" collapsed="false"/>
    <row r="2905" customFormat="false" ht="12.75" hidden="false" customHeight="true" outlineLevel="0" collapsed="false"/>
    <row r="2906" customFormat="false" ht="12.75" hidden="false" customHeight="true" outlineLevel="0" collapsed="false"/>
    <row r="2907" customFormat="false" ht="12.75" hidden="false" customHeight="true" outlineLevel="0" collapsed="false"/>
    <row r="2908" customFormat="false" ht="12.75" hidden="false" customHeight="true" outlineLevel="0" collapsed="false"/>
    <row r="2909" customFormat="false" ht="12.75" hidden="false" customHeight="true" outlineLevel="0" collapsed="false"/>
    <row r="2910" customFormat="false" ht="12.75" hidden="false" customHeight="true" outlineLevel="0" collapsed="false"/>
    <row r="2911" customFormat="false" ht="12.75" hidden="false" customHeight="true" outlineLevel="0" collapsed="false"/>
    <row r="2912" customFormat="false" ht="12.75" hidden="false" customHeight="true" outlineLevel="0" collapsed="false"/>
    <row r="2913" customFormat="false" ht="12.75" hidden="false" customHeight="true" outlineLevel="0" collapsed="false"/>
    <row r="2914" customFormat="false" ht="12.75" hidden="false" customHeight="true" outlineLevel="0" collapsed="false"/>
    <row r="2915" customFormat="false" ht="12.75" hidden="false" customHeight="true" outlineLevel="0" collapsed="false"/>
    <row r="2916" customFormat="false" ht="12.75" hidden="false" customHeight="true" outlineLevel="0" collapsed="false"/>
    <row r="2917" customFormat="false" ht="12.75" hidden="false" customHeight="true" outlineLevel="0" collapsed="false"/>
    <row r="2918" customFormat="false" ht="12.75" hidden="false" customHeight="true" outlineLevel="0" collapsed="false"/>
    <row r="2919" customFormat="false" ht="12.75" hidden="false" customHeight="true" outlineLevel="0" collapsed="false"/>
    <row r="2920" customFormat="false" ht="12.75" hidden="false" customHeight="true" outlineLevel="0" collapsed="false"/>
    <row r="2921" customFormat="false" ht="12.75" hidden="false" customHeight="true" outlineLevel="0" collapsed="false"/>
    <row r="2922" customFormat="false" ht="12.75" hidden="false" customHeight="true" outlineLevel="0" collapsed="false"/>
    <row r="2923" customFormat="false" ht="12.75" hidden="false" customHeight="true" outlineLevel="0" collapsed="false"/>
    <row r="2924" customFormat="false" ht="12.75" hidden="false" customHeight="true" outlineLevel="0" collapsed="false"/>
    <row r="2925" customFormat="false" ht="12.75" hidden="false" customHeight="true" outlineLevel="0" collapsed="false"/>
    <row r="2926" customFormat="false" ht="12.75" hidden="false" customHeight="true" outlineLevel="0" collapsed="false"/>
    <row r="2927" customFormat="false" ht="12.75" hidden="false" customHeight="true" outlineLevel="0" collapsed="false"/>
    <row r="2928" customFormat="false" ht="12.75" hidden="false" customHeight="true" outlineLevel="0" collapsed="false"/>
    <row r="2929" customFormat="false" ht="12.75" hidden="false" customHeight="true" outlineLevel="0" collapsed="false"/>
    <row r="2930" customFormat="false" ht="12.75" hidden="false" customHeight="true" outlineLevel="0" collapsed="false"/>
    <row r="2931" customFormat="false" ht="12.75" hidden="false" customHeight="true" outlineLevel="0" collapsed="false"/>
    <row r="2932" customFormat="false" ht="12.75" hidden="false" customHeight="true" outlineLevel="0" collapsed="false"/>
    <row r="2933" customFormat="false" ht="12.75" hidden="false" customHeight="true" outlineLevel="0" collapsed="false"/>
    <row r="2934" customFormat="false" ht="12.75" hidden="false" customHeight="true" outlineLevel="0" collapsed="false"/>
    <row r="2935" customFormat="false" ht="12.75" hidden="false" customHeight="true" outlineLevel="0" collapsed="false"/>
    <row r="2936" customFormat="false" ht="12.75" hidden="false" customHeight="true" outlineLevel="0" collapsed="false"/>
    <row r="2937" customFormat="false" ht="12.75" hidden="false" customHeight="true" outlineLevel="0" collapsed="false"/>
    <row r="2938" customFormat="false" ht="12.75" hidden="false" customHeight="true" outlineLevel="0" collapsed="false"/>
    <row r="2939" customFormat="false" ht="12.75" hidden="false" customHeight="true" outlineLevel="0" collapsed="false"/>
    <row r="2940" customFormat="false" ht="12.75" hidden="false" customHeight="true" outlineLevel="0" collapsed="false"/>
    <row r="2941" customFormat="false" ht="12.75" hidden="false" customHeight="true" outlineLevel="0" collapsed="false"/>
    <row r="2942" customFormat="false" ht="12.75" hidden="false" customHeight="true" outlineLevel="0" collapsed="false"/>
    <row r="2943" customFormat="false" ht="12.75" hidden="false" customHeight="true" outlineLevel="0" collapsed="false"/>
    <row r="2944" customFormat="false" ht="12.75" hidden="false" customHeight="true" outlineLevel="0" collapsed="false"/>
    <row r="2945" customFormat="false" ht="12.75" hidden="false" customHeight="true" outlineLevel="0" collapsed="false"/>
    <row r="2946" customFormat="false" ht="12.75" hidden="false" customHeight="true" outlineLevel="0" collapsed="false"/>
    <row r="2947" customFormat="false" ht="12.75" hidden="false" customHeight="true" outlineLevel="0" collapsed="false"/>
    <row r="2948" customFormat="false" ht="12.75" hidden="false" customHeight="true" outlineLevel="0" collapsed="false"/>
    <row r="2949" customFormat="false" ht="12.75" hidden="false" customHeight="true" outlineLevel="0" collapsed="false"/>
    <row r="2950" customFormat="false" ht="12.75" hidden="false" customHeight="true" outlineLevel="0" collapsed="false"/>
    <row r="2951" customFormat="false" ht="12.75" hidden="false" customHeight="true" outlineLevel="0" collapsed="false"/>
    <row r="2952" customFormat="false" ht="12.75" hidden="false" customHeight="true" outlineLevel="0" collapsed="false"/>
    <row r="2953" customFormat="false" ht="12.75" hidden="false" customHeight="true" outlineLevel="0" collapsed="false"/>
    <row r="2954" customFormat="false" ht="12.75" hidden="false" customHeight="true" outlineLevel="0" collapsed="false"/>
    <row r="2955" customFormat="false" ht="12.75" hidden="false" customHeight="true" outlineLevel="0" collapsed="false"/>
    <row r="2956" customFormat="false" ht="12.75" hidden="false" customHeight="true" outlineLevel="0" collapsed="false"/>
    <row r="2957" customFormat="false" ht="12.75" hidden="false" customHeight="true" outlineLevel="0" collapsed="false"/>
    <row r="2958" customFormat="false" ht="12.75" hidden="false" customHeight="true" outlineLevel="0" collapsed="false"/>
    <row r="2959" customFormat="false" ht="12.75" hidden="false" customHeight="true" outlineLevel="0" collapsed="false"/>
    <row r="2960" customFormat="false" ht="12.75" hidden="false" customHeight="true" outlineLevel="0" collapsed="false"/>
    <row r="2961" customFormat="false" ht="12.75" hidden="false" customHeight="true" outlineLevel="0" collapsed="false"/>
    <row r="2962" customFormat="false" ht="12.75" hidden="false" customHeight="true" outlineLevel="0" collapsed="false"/>
    <row r="2963" customFormat="false" ht="12.75" hidden="false" customHeight="true" outlineLevel="0" collapsed="false"/>
    <row r="2964" customFormat="false" ht="12.75" hidden="false" customHeight="true" outlineLevel="0" collapsed="false"/>
    <row r="2965" customFormat="false" ht="12.75" hidden="false" customHeight="true" outlineLevel="0" collapsed="false"/>
    <row r="2966" customFormat="false" ht="12.75" hidden="false" customHeight="true" outlineLevel="0" collapsed="false"/>
    <row r="2967" customFormat="false" ht="12.75" hidden="false" customHeight="true" outlineLevel="0" collapsed="false"/>
    <row r="2968" customFormat="false" ht="12.75" hidden="false" customHeight="true" outlineLevel="0" collapsed="false"/>
    <row r="2969" customFormat="false" ht="12.75" hidden="false" customHeight="true" outlineLevel="0" collapsed="false"/>
    <row r="2970" customFormat="false" ht="12.75" hidden="false" customHeight="true" outlineLevel="0" collapsed="false"/>
    <row r="2971" customFormat="false" ht="12.75" hidden="false" customHeight="true" outlineLevel="0" collapsed="false"/>
    <row r="2972" customFormat="false" ht="12.75" hidden="false" customHeight="true" outlineLevel="0" collapsed="false"/>
    <row r="2973" customFormat="false" ht="12.75" hidden="false" customHeight="true" outlineLevel="0" collapsed="false"/>
    <row r="2974" customFormat="false" ht="12.75" hidden="false" customHeight="true" outlineLevel="0" collapsed="false"/>
    <row r="2975" customFormat="false" ht="12.75" hidden="false" customHeight="true" outlineLevel="0" collapsed="false"/>
    <row r="2976" customFormat="false" ht="12.75" hidden="false" customHeight="true" outlineLevel="0" collapsed="false"/>
    <row r="2977" customFormat="false" ht="12.75" hidden="false" customHeight="true" outlineLevel="0" collapsed="false"/>
    <row r="2978" customFormat="false" ht="12.75" hidden="false" customHeight="true" outlineLevel="0" collapsed="false"/>
    <row r="2979" customFormat="false" ht="12.75" hidden="false" customHeight="true" outlineLevel="0" collapsed="false"/>
    <row r="2980" customFormat="false" ht="12.75" hidden="false" customHeight="true" outlineLevel="0" collapsed="false"/>
    <row r="2981" customFormat="false" ht="12.75" hidden="false" customHeight="true" outlineLevel="0" collapsed="false"/>
    <row r="2982" customFormat="false" ht="12.75" hidden="false" customHeight="true" outlineLevel="0" collapsed="false"/>
    <row r="2983" customFormat="false" ht="12.75" hidden="false" customHeight="true" outlineLevel="0" collapsed="false"/>
    <row r="2984" customFormat="false" ht="12.75" hidden="false" customHeight="true" outlineLevel="0" collapsed="false"/>
    <row r="2985" customFormat="false" ht="12.75" hidden="false" customHeight="true" outlineLevel="0" collapsed="false"/>
    <row r="2986" customFormat="false" ht="12.75" hidden="false" customHeight="true" outlineLevel="0" collapsed="false"/>
    <row r="2987" customFormat="false" ht="12.75" hidden="false" customHeight="true" outlineLevel="0" collapsed="false"/>
    <row r="2988" customFormat="false" ht="12.75" hidden="false" customHeight="true" outlineLevel="0" collapsed="false"/>
    <row r="2989" customFormat="false" ht="12.75" hidden="false" customHeight="true" outlineLevel="0" collapsed="false"/>
    <row r="2990" customFormat="false" ht="12.75" hidden="false" customHeight="true" outlineLevel="0" collapsed="false"/>
    <row r="2991" customFormat="false" ht="12.75" hidden="false" customHeight="true" outlineLevel="0" collapsed="false"/>
    <row r="2992" customFormat="false" ht="12.75" hidden="false" customHeight="true" outlineLevel="0" collapsed="false"/>
    <row r="2993" customFormat="false" ht="12.75" hidden="false" customHeight="true" outlineLevel="0" collapsed="false"/>
    <row r="2994" customFormat="false" ht="12.75" hidden="false" customHeight="true" outlineLevel="0" collapsed="false"/>
    <row r="2995" customFormat="false" ht="12.75" hidden="false" customHeight="true" outlineLevel="0" collapsed="false"/>
    <row r="2996" customFormat="false" ht="12.75" hidden="false" customHeight="true" outlineLevel="0" collapsed="false"/>
    <row r="2997" customFormat="false" ht="12.75" hidden="false" customHeight="true" outlineLevel="0" collapsed="false"/>
    <row r="2998" customFormat="false" ht="12.75" hidden="false" customHeight="true" outlineLevel="0" collapsed="false"/>
    <row r="2999" customFormat="false" ht="12.75" hidden="false" customHeight="true" outlineLevel="0" collapsed="false"/>
    <row r="3000" customFormat="false" ht="12.75" hidden="false" customHeight="true" outlineLevel="0" collapsed="false"/>
    <row r="3001" customFormat="false" ht="12.75" hidden="false" customHeight="true" outlineLevel="0" collapsed="false"/>
    <row r="3002" customFormat="false" ht="12.75" hidden="false" customHeight="true" outlineLevel="0" collapsed="false"/>
    <row r="3003" customFormat="false" ht="12.75" hidden="false" customHeight="true" outlineLevel="0" collapsed="false"/>
    <row r="3004" customFormat="false" ht="12.75" hidden="false" customHeight="true" outlineLevel="0" collapsed="false"/>
    <row r="3005" customFormat="false" ht="12.75" hidden="false" customHeight="true" outlineLevel="0" collapsed="false"/>
    <row r="3006" customFormat="false" ht="12.75" hidden="false" customHeight="true" outlineLevel="0" collapsed="false"/>
    <row r="3007" customFormat="false" ht="12.75" hidden="false" customHeight="true" outlineLevel="0" collapsed="false"/>
    <row r="3008" customFormat="false" ht="12.75" hidden="false" customHeight="true" outlineLevel="0" collapsed="false"/>
    <row r="3009" customFormat="false" ht="12.75" hidden="false" customHeight="true" outlineLevel="0" collapsed="false"/>
    <row r="3010" customFormat="false" ht="12.75" hidden="false" customHeight="true" outlineLevel="0" collapsed="false"/>
    <row r="3011" customFormat="false" ht="12.75" hidden="false" customHeight="true" outlineLevel="0" collapsed="false"/>
    <row r="3012" customFormat="false" ht="12.75" hidden="false" customHeight="true" outlineLevel="0" collapsed="false"/>
    <row r="3013" customFormat="false" ht="12.75" hidden="false" customHeight="true" outlineLevel="0" collapsed="false"/>
    <row r="3014" customFormat="false" ht="12.75" hidden="false" customHeight="true" outlineLevel="0" collapsed="false"/>
    <row r="3015" customFormat="false" ht="12.75" hidden="false" customHeight="true" outlineLevel="0" collapsed="false"/>
    <row r="3016" customFormat="false" ht="12.75" hidden="false" customHeight="true" outlineLevel="0" collapsed="false"/>
    <row r="3017" customFormat="false" ht="12.75" hidden="false" customHeight="true" outlineLevel="0" collapsed="false"/>
    <row r="3018" customFormat="false" ht="12.75" hidden="false" customHeight="true" outlineLevel="0" collapsed="false"/>
    <row r="3019" customFormat="false" ht="12.75" hidden="false" customHeight="true" outlineLevel="0" collapsed="false"/>
    <row r="3020" customFormat="false" ht="12.75" hidden="false" customHeight="true" outlineLevel="0" collapsed="false"/>
    <row r="3021" customFormat="false" ht="12.75" hidden="false" customHeight="true" outlineLevel="0" collapsed="false"/>
    <row r="3022" customFormat="false" ht="12.75" hidden="false" customHeight="true" outlineLevel="0" collapsed="false"/>
    <row r="3023" customFormat="false" ht="12.75" hidden="false" customHeight="true" outlineLevel="0" collapsed="false"/>
    <row r="3024" customFormat="false" ht="12.75" hidden="false" customHeight="true" outlineLevel="0" collapsed="false"/>
    <row r="3025" customFormat="false" ht="12.75" hidden="false" customHeight="true" outlineLevel="0" collapsed="false"/>
    <row r="3026" customFormat="false" ht="12.75" hidden="false" customHeight="true" outlineLevel="0" collapsed="false"/>
    <row r="3027" customFormat="false" ht="12.75" hidden="false" customHeight="true" outlineLevel="0" collapsed="false"/>
    <row r="3028" customFormat="false" ht="12.75" hidden="false" customHeight="true" outlineLevel="0" collapsed="false"/>
    <row r="3029" customFormat="false" ht="12.75" hidden="false" customHeight="true" outlineLevel="0" collapsed="false"/>
    <row r="3030" customFormat="false" ht="12.75" hidden="false" customHeight="true" outlineLevel="0" collapsed="false"/>
    <row r="3031" customFormat="false" ht="12.75" hidden="false" customHeight="true" outlineLevel="0" collapsed="false"/>
    <row r="3032" customFormat="false" ht="12.75" hidden="false" customHeight="true" outlineLevel="0" collapsed="false"/>
    <row r="3033" customFormat="false" ht="12.75" hidden="false" customHeight="true" outlineLevel="0" collapsed="false"/>
    <row r="3034" customFormat="false" ht="12.75" hidden="false" customHeight="true" outlineLevel="0" collapsed="false"/>
    <row r="3035" customFormat="false" ht="12.75" hidden="false" customHeight="true" outlineLevel="0" collapsed="false"/>
    <row r="3036" customFormat="false" ht="12.75" hidden="false" customHeight="true" outlineLevel="0" collapsed="false"/>
    <row r="3037" customFormat="false" ht="12.75" hidden="false" customHeight="true" outlineLevel="0" collapsed="false"/>
    <row r="3038" customFormat="false" ht="12.75" hidden="false" customHeight="true" outlineLevel="0" collapsed="false"/>
    <row r="3039" customFormat="false" ht="12.75" hidden="false" customHeight="true" outlineLevel="0" collapsed="false"/>
    <row r="3040" customFormat="false" ht="12.75" hidden="false" customHeight="true" outlineLevel="0" collapsed="false"/>
    <row r="3041" customFormat="false" ht="12.75" hidden="false" customHeight="true" outlineLevel="0" collapsed="false"/>
    <row r="3042" customFormat="false" ht="12.75" hidden="false" customHeight="true" outlineLevel="0" collapsed="false"/>
    <row r="3043" customFormat="false" ht="12.75" hidden="false" customHeight="true" outlineLevel="0" collapsed="false"/>
    <row r="3044" customFormat="false" ht="12.75" hidden="false" customHeight="true" outlineLevel="0" collapsed="false"/>
    <row r="3045" customFormat="false" ht="12.75" hidden="false" customHeight="true" outlineLevel="0" collapsed="false"/>
    <row r="3046" customFormat="false" ht="12.75" hidden="false" customHeight="true" outlineLevel="0" collapsed="false"/>
    <row r="3047" customFormat="false" ht="12.75" hidden="false" customHeight="true" outlineLevel="0" collapsed="false"/>
    <row r="3048" customFormat="false" ht="12.75" hidden="false" customHeight="true" outlineLevel="0" collapsed="false"/>
    <row r="3049" customFormat="false" ht="12.75" hidden="false" customHeight="true" outlineLevel="0" collapsed="false"/>
    <row r="3050" customFormat="false" ht="12.75" hidden="false" customHeight="true" outlineLevel="0" collapsed="false"/>
    <row r="3051" customFormat="false" ht="12.75" hidden="false" customHeight="true" outlineLevel="0" collapsed="false"/>
    <row r="3052" customFormat="false" ht="12.75" hidden="false" customHeight="true" outlineLevel="0" collapsed="false"/>
    <row r="3053" customFormat="false" ht="12.75" hidden="false" customHeight="true" outlineLevel="0" collapsed="false"/>
    <row r="3054" customFormat="false" ht="12.75" hidden="false" customHeight="true" outlineLevel="0" collapsed="false"/>
    <row r="3055" customFormat="false" ht="12.75" hidden="false" customHeight="true" outlineLevel="0" collapsed="false"/>
    <row r="3056" customFormat="false" ht="12.75" hidden="false" customHeight="true" outlineLevel="0" collapsed="false"/>
    <row r="3057" customFormat="false" ht="12.75" hidden="false" customHeight="true" outlineLevel="0" collapsed="false"/>
    <row r="3058" customFormat="false" ht="12.75" hidden="false" customHeight="true" outlineLevel="0" collapsed="false"/>
    <row r="3059" customFormat="false" ht="12.75" hidden="false" customHeight="true" outlineLevel="0" collapsed="false"/>
    <row r="3060" customFormat="false" ht="12.75" hidden="false" customHeight="true" outlineLevel="0" collapsed="false"/>
    <row r="3061" customFormat="false" ht="12.75" hidden="false" customHeight="true" outlineLevel="0" collapsed="false"/>
    <row r="3062" customFormat="false" ht="12.75" hidden="false" customHeight="true" outlineLevel="0" collapsed="false"/>
    <row r="3063" customFormat="false" ht="12.75" hidden="false" customHeight="true" outlineLevel="0" collapsed="false"/>
    <row r="3064" customFormat="false" ht="12.75" hidden="false" customHeight="true" outlineLevel="0" collapsed="false"/>
    <row r="3065" customFormat="false" ht="12.75" hidden="false" customHeight="true" outlineLevel="0" collapsed="false"/>
    <row r="3066" customFormat="false" ht="12.75" hidden="false" customHeight="true" outlineLevel="0" collapsed="false"/>
    <row r="3067" customFormat="false" ht="12.75" hidden="false" customHeight="true" outlineLevel="0" collapsed="false"/>
    <row r="3068" customFormat="false" ht="12.75" hidden="false" customHeight="true" outlineLevel="0" collapsed="false"/>
    <row r="3069" customFormat="false" ht="12.75" hidden="false" customHeight="true" outlineLevel="0" collapsed="false"/>
    <row r="3070" customFormat="false" ht="12.75" hidden="false" customHeight="true" outlineLevel="0" collapsed="false"/>
    <row r="3071" customFormat="false" ht="12.75" hidden="false" customHeight="true" outlineLevel="0" collapsed="false"/>
    <row r="3072" customFormat="false" ht="12.75" hidden="false" customHeight="true" outlineLevel="0" collapsed="false"/>
    <row r="3073" customFormat="false" ht="12.75" hidden="false" customHeight="true" outlineLevel="0" collapsed="false"/>
    <row r="3074" customFormat="false" ht="12.75" hidden="false" customHeight="true" outlineLevel="0" collapsed="false"/>
    <row r="3075" customFormat="false" ht="12.75" hidden="false" customHeight="true" outlineLevel="0" collapsed="false"/>
    <row r="3076" customFormat="false" ht="12.75" hidden="false" customHeight="true" outlineLevel="0" collapsed="false"/>
    <row r="3077" customFormat="false" ht="12.75" hidden="false" customHeight="true" outlineLevel="0" collapsed="false"/>
    <row r="3078" customFormat="false" ht="12.75" hidden="false" customHeight="true" outlineLevel="0" collapsed="false"/>
    <row r="3079" customFormat="false" ht="12.75" hidden="false" customHeight="true" outlineLevel="0" collapsed="false"/>
    <row r="3080" customFormat="false" ht="12.75" hidden="false" customHeight="true" outlineLevel="0" collapsed="false"/>
    <row r="3081" customFormat="false" ht="12.75" hidden="false" customHeight="true" outlineLevel="0" collapsed="false"/>
    <row r="3082" customFormat="false" ht="12.75" hidden="false" customHeight="true" outlineLevel="0" collapsed="false"/>
    <row r="3083" customFormat="false" ht="12.75" hidden="false" customHeight="true" outlineLevel="0" collapsed="false"/>
    <row r="3084" customFormat="false" ht="12.75" hidden="false" customHeight="true" outlineLevel="0" collapsed="false"/>
    <row r="3085" customFormat="false" ht="12.75" hidden="false" customHeight="true" outlineLevel="0" collapsed="false"/>
    <row r="3086" customFormat="false" ht="12.75" hidden="false" customHeight="true" outlineLevel="0" collapsed="false"/>
    <row r="3087" customFormat="false" ht="12.75" hidden="false" customHeight="true" outlineLevel="0" collapsed="false"/>
    <row r="3088" customFormat="false" ht="12.75" hidden="false" customHeight="true" outlineLevel="0" collapsed="false"/>
    <row r="3089" customFormat="false" ht="12.75" hidden="false" customHeight="true" outlineLevel="0" collapsed="false"/>
    <row r="3090" customFormat="false" ht="12.75" hidden="false" customHeight="true" outlineLevel="0" collapsed="false"/>
    <row r="3091" customFormat="false" ht="12.75" hidden="false" customHeight="true" outlineLevel="0" collapsed="false"/>
    <row r="3092" customFormat="false" ht="12.75" hidden="false" customHeight="true" outlineLevel="0" collapsed="false"/>
    <row r="3093" customFormat="false" ht="12.75" hidden="false" customHeight="true" outlineLevel="0" collapsed="false"/>
    <row r="3094" customFormat="false" ht="12.75" hidden="false" customHeight="true" outlineLevel="0" collapsed="false"/>
    <row r="3095" customFormat="false" ht="12.75" hidden="false" customHeight="true" outlineLevel="0" collapsed="false"/>
    <row r="3096" customFormat="false" ht="12.75" hidden="false" customHeight="true" outlineLevel="0" collapsed="false"/>
    <row r="3097" customFormat="false" ht="12.75" hidden="false" customHeight="true" outlineLevel="0" collapsed="false"/>
    <row r="3098" customFormat="false" ht="12.75" hidden="false" customHeight="true" outlineLevel="0" collapsed="false"/>
    <row r="3099" customFormat="false" ht="12.75" hidden="false" customHeight="true" outlineLevel="0" collapsed="false"/>
    <row r="3100" customFormat="false" ht="12.75" hidden="false" customHeight="true" outlineLevel="0" collapsed="false"/>
    <row r="3101" customFormat="false" ht="12.75" hidden="false" customHeight="true" outlineLevel="0" collapsed="false"/>
    <row r="3102" customFormat="false" ht="12.75" hidden="false" customHeight="true" outlineLevel="0" collapsed="false"/>
    <row r="3103" customFormat="false" ht="12.75" hidden="false" customHeight="true" outlineLevel="0" collapsed="false"/>
    <row r="3104" customFormat="false" ht="12.75" hidden="false" customHeight="true" outlineLevel="0" collapsed="false"/>
    <row r="3105" customFormat="false" ht="12.75" hidden="false" customHeight="true" outlineLevel="0" collapsed="false"/>
    <row r="3106" customFormat="false" ht="12.75" hidden="false" customHeight="true" outlineLevel="0" collapsed="false"/>
    <row r="3107" customFormat="false" ht="12.75" hidden="false" customHeight="true" outlineLevel="0" collapsed="false"/>
    <row r="3108" customFormat="false" ht="12.75" hidden="false" customHeight="true" outlineLevel="0" collapsed="false"/>
    <row r="3109" customFormat="false" ht="12.75" hidden="false" customHeight="true" outlineLevel="0" collapsed="false"/>
    <row r="3110" customFormat="false" ht="12.75" hidden="false" customHeight="true" outlineLevel="0" collapsed="false"/>
    <row r="3111" customFormat="false" ht="12.75" hidden="false" customHeight="true" outlineLevel="0" collapsed="false"/>
    <row r="3112" customFormat="false" ht="12.75" hidden="false" customHeight="true" outlineLevel="0" collapsed="false"/>
    <row r="3113" customFormat="false" ht="12.75" hidden="false" customHeight="true" outlineLevel="0" collapsed="false"/>
    <row r="3114" customFormat="false" ht="12.75" hidden="false" customHeight="true" outlineLevel="0" collapsed="false"/>
    <row r="3115" customFormat="false" ht="12.75" hidden="false" customHeight="true" outlineLevel="0" collapsed="false"/>
    <row r="3116" customFormat="false" ht="12.75" hidden="false" customHeight="true" outlineLevel="0" collapsed="false"/>
    <row r="3117" customFormat="false" ht="12.75" hidden="false" customHeight="true" outlineLevel="0" collapsed="false"/>
    <row r="3118" customFormat="false" ht="12.75" hidden="false" customHeight="true" outlineLevel="0" collapsed="false"/>
    <row r="3119" customFormat="false" ht="12.75" hidden="false" customHeight="true" outlineLevel="0" collapsed="false"/>
    <row r="3120" customFormat="false" ht="12.75" hidden="false" customHeight="true" outlineLevel="0" collapsed="false"/>
    <row r="3121" customFormat="false" ht="12.75" hidden="false" customHeight="true" outlineLevel="0" collapsed="false"/>
    <row r="3122" customFormat="false" ht="12.75" hidden="false" customHeight="true" outlineLevel="0" collapsed="false"/>
    <row r="3123" customFormat="false" ht="12.75" hidden="false" customHeight="true" outlineLevel="0" collapsed="false"/>
    <row r="3124" customFormat="false" ht="12.75" hidden="false" customHeight="true" outlineLevel="0" collapsed="false"/>
    <row r="3125" customFormat="false" ht="12.75" hidden="false" customHeight="true" outlineLevel="0" collapsed="false"/>
    <row r="3126" customFormat="false" ht="12.75" hidden="false" customHeight="true" outlineLevel="0" collapsed="false"/>
    <row r="3127" customFormat="false" ht="12.75" hidden="false" customHeight="true" outlineLevel="0" collapsed="false"/>
    <row r="3128" customFormat="false" ht="12.75" hidden="false" customHeight="true" outlineLevel="0" collapsed="false"/>
    <row r="3129" customFormat="false" ht="12.75" hidden="false" customHeight="true" outlineLevel="0" collapsed="false"/>
    <row r="3130" customFormat="false" ht="12.75" hidden="false" customHeight="true" outlineLevel="0" collapsed="false"/>
    <row r="3131" customFormat="false" ht="12.75" hidden="false" customHeight="true" outlineLevel="0" collapsed="false"/>
    <row r="3132" customFormat="false" ht="12.75" hidden="false" customHeight="true" outlineLevel="0" collapsed="false"/>
    <row r="3133" customFormat="false" ht="12.75" hidden="false" customHeight="true" outlineLevel="0" collapsed="false"/>
    <row r="3134" customFormat="false" ht="12.75" hidden="false" customHeight="true" outlineLevel="0" collapsed="false"/>
    <row r="3135" customFormat="false" ht="12.75" hidden="false" customHeight="true" outlineLevel="0" collapsed="false"/>
    <row r="3136" customFormat="false" ht="12.75" hidden="false" customHeight="true" outlineLevel="0" collapsed="false"/>
    <row r="3137" customFormat="false" ht="12.75" hidden="false" customHeight="true" outlineLevel="0" collapsed="false"/>
    <row r="3138" customFormat="false" ht="12.75" hidden="false" customHeight="true" outlineLevel="0" collapsed="false"/>
    <row r="3139" customFormat="false" ht="12.75" hidden="false" customHeight="true" outlineLevel="0" collapsed="false"/>
    <row r="3140" customFormat="false" ht="12.75" hidden="false" customHeight="true" outlineLevel="0" collapsed="false"/>
    <row r="3141" customFormat="false" ht="12.75" hidden="false" customHeight="true" outlineLevel="0" collapsed="false"/>
    <row r="3142" customFormat="false" ht="12.75" hidden="false" customHeight="true" outlineLevel="0" collapsed="false"/>
    <row r="3143" customFormat="false" ht="12.75" hidden="false" customHeight="true" outlineLevel="0" collapsed="false"/>
    <row r="3144" customFormat="false" ht="12.75" hidden="false" customHeight="true" outlineLevel="0" collapsed="false"/>
    <row r="3145" customFormat="false" ht="12.75" hidden="false" customHeight="true" outlineLevel="0" collapsed="false"/>
    <row r="3146" customFormat="false" ht="12.75" hidden="false" customHeight="true" outlineLevel="0" collapsed="false"/>
    <row r="3147" customFormat="false" ht="12.75" hidden="false" customHeight="true" outlineLevel="0" collapsed="false"/>
    <row r="3148" customFormat="false" ht="12.75" hidden="false" customHeight="true" outlineLevel="0" collapsed="false"/>
    <row r="3149" customFormat="false" ht="12.75" hidden="false" customHeight="true" outlineLevel="0" collapsed="false"/>
    <row r="3150" customFormat="false" ht="12.75" hidden="false" customHeight="true" outlineLevel="0" collapsed="false"/>
    <row r="3151" customFormat="false" ht="12.75" hidden="false" customHeight="true" outlineLevel="0" collapsed="false"/>
    <row r="3152" customFormat="false" ht="12.75" hidden="false" customHeight="true" outlineLevel="0" collapsed="false"/>
    <row r="3153" customFormat="false" ht="12.75" hidden="false" customHeight="true" outlineLevel="0" collapsed="false"/>
    <row r="3154" customFormat="false" ht="12.75" hidden="false" customHeight="true" outlineLevel="0" collapsed="false"/>
    <row r="3155" customFormat="false" ht="12.75" hidden="false" customHeight="true" outlineLevel="0" collapsed="false"/>
    <row r="3156" customFormat="false" ht="12.75" hidden="false" customHeight="true" outlineLevel="0" collapsed="false"/>
    <row r="3157" customFormat="false" ht="12.75" hidden="false" customHeight="true" outlineLevel="0" collapsed="false"/>
    <row r="3158" customFormat="false" ht="12.75" hidden="false" customHeight="true" outlineLevel="0" collapsed="false"/>
    <row r="3159" customFormat="false" ht="12.75" hidden="false" customHeight="true" outlineLevel="0" collapsed="false"/>
    <row r="3160" customFormat="false" ht="12.75" hidden="false" customHeight="true" outlineLevel="0" collapsed="false"/>
    <row r="3161" customFormat="false" ht="12.75" hidden="false" customHeight="true" outlineLevel="0" collapsed="false"/>
    <row r="3162" customFormat="false" ht="12.75" hidden="false" customHeight="true" outlineLevel="0" collapsed="false"/>
    <row r="3163" customFormat="false" ht="12.75" hidden="false" customHeight="true" outlineLevel="0" collapsed="false"/>
    <row r="3164" customFormat="false" ht="12.75" hidden="false" customHeight="true" outlineLevel="0" collapsed="false"/>
    <row r="3165" customFormat="false" ht="12.75" hidden="false" customHeight="true" outlineLevel="0" collapsed="false"/>
    <row r="3166" customFormat="false" ht="12.75" hidden="false" customHeight="true" outlineLevel="0" collapsed="false"/>
    <row r="3167" customFormat="false" ht="12.75" hidden="false" customHeight="true" outlineLevel="0" collapsed="false"/>
    <row r="3168" customFormat="false" ht="12.75" hidden="false" customHeight="true" outlineLevel="0" collapsed="false"/>
    <row r="3169" customFormat="false" ht="12.75" hidden="false" customHeight="true" outlineLevel="0" collapsed="false"/>
    <row r="3170" customFormat="false" ht="12.75" hidden="false" customHeight="true" outlineLevel="0" collapsed="false"/>
    <row r="3171" customFormat="false" ht="12.75" hidden="false" customHeight="true" outlineLevel="0" collapsed="false"/>
    <row r="3172" customFormat="false" ht="12.75" hidden="false" customHeight="true" outlineLevel="0" collapsed="false"/>
    <row r="3173" customFormat="false" ht="12.75" hidden="false" customHeight="true" outlineLevel="0" collapsed="false"/>
    <row r="3174" customFormat="false" ht="12.75" hidden="false" customHeight="true" outlineLevel="0" collapsed="false"/>
    <row r="3175" customFormat="false" ht="12.75" hidden="false" customHeight="true" outlineLevel="0" collapsed="false"/>
    <row r="3176" customFormat="false" ht="12.75" hidden="false" customHeight="true" outlineLevel="0" collapsed="false"/>
    <row r="3177" customFormat="false" ht="12.75" hidden="false" customHeight="true" outlineLevel="0" collapsed="false"/>
    <row r="3178" customFormat="false" ht="12.75" hidden="false" customHeight="true" outlineLevel="0" collapsed="false"/>
    <row r="3179" customFormat="false" ht="12.75" hidden="false" customHeight="true" outlineLevel="0" collapsed="false"/>
    <row r="3180" customFormat="false" ht="12.75" hidden="false" customHeight="true" outlineLevel="0" collapsed="false"/>
    <row r="3181" customFormat="false" ht="12.75" hidden="false" customHeight="true" outlineLevel="0" collapsed="false"/>
    <row r="3182" customFormat="false" ht="12.75" hidden="false" customHeight="true" outlineLevel="0" collapsed="false"/>
    <row r="3183" customFormat="false" ht="12.75" hidden="false" customHeight="true" outlineLevel="0" collapsed="false"/>
    <row r="3184" customFormat="false" ht="12.75" hidden="false" customHeight="true" outlineLevel="0" collapsed="false"/>
    <row r="3185" customFormat="false" ht="12.75" hidden="false" customHeight="true" outlineLevel="0" collapsed="false"/>
    <row r="3186" customFormat="false" ht="12.75" hidden="false" customHeight="true" outlineLevel="0" collapsed="false"/>
    <row r="3187" customFormat="false" ht="12.75" hidden="false" customHeight="true" outlineLevel="0" collapsed="false"/>
    <row r="3188" customFormat="false" ht="12.75" hidden="false" customHeight="true" outlineLevel="0" collapsed="false"/>
    <row r="3189" customFormat="false" ht="12.75" hidden="false" customHeight="true" outlineLevel="0" collapsed="false"/>
    <row r="3190" customFormat="false" ht="12.75" hidden="false" customHeight="true" outlineLevel="0" collapsed="false"/>
    <row r="3191" customFormat="false" ht="12.75" hidden="false" customHeight="true" outlineLevel="0" collapsed="false"/>
    <row r="3192" customFormat="false" ht="12.75" hidden="false" customHeight="true" outlineLevel="0" collapsed="false"/>
    <row r="3193" customFormat="false" ht="12.75" hidden="false" customHeight="true" outlineLevel="0" collapsed="false"/>
    <row r="3194" customFormat="false" ht="12.75" hidden="false" customHeight="true" outlineLevel="0" collapsed="false"/>
    <row r="3195" customFormat="false" ht="12.75" hidden="false" customHeight="true" outlineLevel="0" collapsed="false"/>
    <row r="3196" customFormat="false" ht="12.75" hidden="false" customHeight="true" outlineLevel="0" collapsed="false"/>
    <row r="3197" customFormat="false" ht="12.75" hidden="false" customHeight="true" outlineLevel="0" collapsed="false"/>
    <row r="3198" customFormat="false" ht="12.75" hidden="false" customHeight="true" outlineLevel="0" collapsed="false"/>
    <row r="3199" customFormat="false" ht="12.75" hidden="false" customHeight="true" outlineLevel="0" collapsed="false"/>
    <row r="3200" customFormat="false" ht="12.75" hidden="false" customHeight="true" outlineLevel="0" collapsed="false"/>
    <row r="3201" customFormat="false" ht="12.75" hidden="false" customHeight="true" outlineLevel="0" collapsed="false"/>
    <row r="3202" customFormat="false" ht="12.75" hidden="false" customHeight="true" outlineLevel="0" collapsed="false"/>
    <row r="3203" customFormat="false" ht="12.75" hidden="false" customHeight="true" outlineLevel="0" collapsed="false"/>
    <row r="3204" customFormat="false" ht="12.75" hidden="false" customHeight="true" outlineLevel="0" collapsed="false"/>
    <row r="3205" customFormat="false" ht="12.75" hidden="false" customHeight="true" outlineLevel="0" collapsed="false"/>
    <row r="3206" customFormat="false" ht="12.75" hidden="false" customHeight="true" outlineLevel="0" collapsed="false"/>
    <row r="3207" customFormat="false" ht="12.75" hidden="false" customHeight="true" outlineLevel="0" collapsed="false"/>
    <row r="3208" customFormat="false" ht="12.75" hidden="false" customHeight="true" outlineLevel="0" collapsed="false"/>
    <row r="3209" customFormat="false" ht="12.75" hidden="false" customHeight="true" outlineLevel="0" collapsed="false"/>
    <row r="3210" customFormat="false" ht="12.75" hidden="false" customHeight="true" outlineLevel="0" collapsed="false"/>
    <row r="3211" customFormat="false" ht="12.75" hidden="false" customHeight="true" outlineLevel="0" collapsed="false"/>
    <row r="3212" customFormat="false" ht="12.75" hidden="false" customHeight="true" outlineLevel="0" collapsed="false"/>
    <row r="3213" customFormat="false" ht="12.75" hidden="false" customHeight="true" outlineLevel="0" collapsed="false"/>
    <row r="3214" customFormat="false" ht="12.75" hidden="false" customHeight="true" outlineLevel="0" collapsed="false"/>
    <row r="3215" customFormat="false" ht="12.75" hidden="false" customHeight="true" outlineLevel="0" collapsed="false"/>
    <row r="3216" customFormat="false" ht="12.75" hidden="false" customHeight="true" outlineLevel="0" collapsed="false"/>
    <row r="3217" customFormat="false" ht="12.75" hidden="false" customHeight="true" outlineLevel="0" collapsed="false"/>
    <row r="3218" customFormat="false" ht="12.75" hidden="false" customHeight="true" outlineLevel="0" collapsed="false"/>
    <row r="3219" customFormat="false" ht="12.75" hidden="false" customHeight="true" outlineLevel="0" collapsed="false"/>
    <row r="3220" customFormat="false" ht="12.75" hidden="false" customHeight="true" outlineLevel="0" collapsed="false"/>
    <row r="3221" customFormat="false" ht="12.75" hidden="false" customHeight="true" outlineLevel="0" collapsed="false"/>
    <row r="3222" customFormat="false" ht="12.75" hidden="false" customHeight="true" outlineLevel="0" collapsed="false"/>
    <row r="3223" customFormat="false" ht="12.75" hidden="false" customHeight="true" outlineLevel="0" collapsed="false"/>
    <row r="3224" customFormat="false" ht="12.75" hidden="false" customHeight="true" outlineLevel="0" collapsed="false"/>
    <row r="3225" customFormat="false" ht="12.75" hidden="false" customHeight="true" outlineLevel="0" collapsed="false"/>
    <row r="3226" customFormat="false" ht="12.75" hidden="false" customHeight="true" outlineLevel="0" collapsed="false"/>
    <row r="3227" customFormat="false" ht="12.75" hidden="false" customHeight="true" outlineLevel="0" collapsed="false"/>
    <row r="3228" customFormat="false" ht="12.75" hidden="false" customHeight="true" outlineLevel="0" collapsed="false"/>
    <row r="3229" customFormat="false" ht="12.75" hidden="false" customHeight="true" outlineLevel="0" collapsed="false"/>
    <row r="3230" customFormat="false" ht="12.75" hidden="false" customHeight="true" outlineLevel="0" collapsed="false"/>
    <row r="3231" customFormat="false" ht="12.75" hidden="false" customHeight="true" outlineLevel="0" collapsed="false"/>
    <row r="3232" customFormat="false" ht="12.75" hidden="false" customHeight="true" outlineLevel="0" collapsed="false"/>
    <row r="3233" customFormat="false" ht="12.75" hidden="false" customHeight="true" outlineLevel="0" collapsed="false"/>
    <row r="3234" customFormat="false" ht="12.75" hidden="false" customHeight="true" outlineLevel="0" collapsed="false"/>
    <row r="3235" customFormat="false" ht="12.75" hidden="false" customHeight="true" outlineLevel="0" collapsed="false"/>
    <row r="3236" customFormat="false" ht="12.75" hidden="false" customHeight="true" outlineLevel="0" collapsed="false"/>
    <row r="3237" customFormat="false" ht="12.75" hidden="false" customHeight="true" outlineLevel="0" collapsed="false"/>
    <row r="3238" customFormat="false" ht="12.75" hidden="false" customHeight="true" outlineLevel="0" collapsed="false"/>
    <row r="3239" customFormat="false" ht="12.75" hidden="false" customHeight="true" outlineLevel="0" collapsed="false"/>
    <row r="3240" customFormat="false" ht="12.75" hidden="false" customHeight="true" outlineLevel="0" collapsed="false"/>
    <row r="3241" customFormat="false" ht="12.75" hidden="false" customHeight="true" outlineLevel="0" collapsed="false"/>
    <row r="3242" customFormat="false" ht="12.75" hidden="false" customHeight="true" outlineLevel="0" collapsed="false"/>
    <row r="3243" customFormat="false" ht="12.75" hidden="false" customHeight="true" outlineLevel="0" collapsed="false"/>
    <row r="3244" customFormat="false" ht="12.75" hidden="false" customHeight="true" outlineLevel="0" collapsed="false"/>
    <row r="3245" customFormat="false" ht="12.75" hidden="false" customHeight="true" outlineLevel="0" collapsed="false"/>
    <row r="3246" customFormat="false" ht="12.75" hidden="false" customHeight="true" outlineLevel="0" collapsed="false"/>
    <row r="3247" customFormat="false" ht="12.75" hidden="false" customHeight="true" outlineLevel="0" collapsed="false"/>
    <row r="3248" customFormat="false" ht="12.75" hidden="false" customHeight="true" outlineLevel="0" collapsed="false"/>
    <row r="3249" customFormat="false" ht="12.75" hidden="false" customHeight="true" outlineLevel="0" collapsed="false"/>
    <row r="3250" customFormat="false" ht="12.75" hidden="false" customHeight="true" outlineLevel="0" collapsed="false"/>
    <row r="3251" customFormat="false" ht="12.75" hidden="false" customHeight="true" outlineLevel="0" collapsed="false"/>
    <row r="3252" customFormat="false" ht="12.75" hidden="false" customHeight="true" outlineLevel="0" collapsed="false"/>
    <row r="3253" customFormat="false" ht="12.75" hidden="false" customHeight="true" outlineLevel="0" collapsed="false"/>
    <row r="3254" customFormat="false" ht="12.75" hidden="false" customHeight="true" outlineLevel="0" collapsed="false"/>
    <row r="3255" customFormat="false" ht="12.75" hidden="false" customHeight="true" outlineLevel="0" collapsed="false"/>
    <row r="3256" customFormat="false" ht="12.75" hidden="false" customHeight="true" outlineLevel="0" collapsed="false"/>
    <row r="3257" customFormat="false" ht="12.75" hidden="false" customHeight="true" outlineLevel="0" collapsed="false"/>
    <row r="3258" customFormat="false" ht="12.75" hidden="false" customHeight="true" outlineLevel="0" collapsed="false"/>
    <row r="3259" customFormat="false" ht="12.75" hidden="false" customHeight="true" outlineLevel="0" collapsed="false"/>
    <row r="3260" customFormat="false" ht="12.75" hidden="false" customHeight="true" outlineLevel="0" collapsed="false"/>
    <row r="3261" customFormat="false" ht="12.75" hidden="false" customHeight="true" outlineLevel="0" collapsed="false"/>
    <row r="3262" customFormat="false" ht="12.75" hidden="false" customHeight="true" outlineLevel="0" collapsed="false"/>
    <row r="3263" customFormat="false" ht="12.75" hidden="false" customHeight="true" outlineLevel="0" collapsed="false"/>
    <row r="3264" customFormat="false" ht="12.75" hidden="false" customHeight="true" outlineLevel="0" collapsed="false"/>
    <row r="3265" customFormat="false" ht="12.75" hidden="false" customHeight="true" outlineLevel="0" collapsed="false"/>
    <row r="3266" customFormat="false" ht="12.75" hidden="false" customHeight="true" outlineLevel="0" collapsed="false"/>
    <row r="3267" customFormat="false" ht="12.75" hidden="false" customHeight="true" outlineLevel="0" collapsed="false"/>
    <row r="3268" customFormat="false" ht="12.75" hidden="false" customHeight="true" outlineLevel="0" collapsed="false"/>
    <row r="3269" customFormat="false" ht="12.75" hidden="false" customHeight="true" outlineLevel="0" collapsed="false"/>
    <row r="3270" customFormat="false" ht="12.75" hidden="false" customHeight="true" outlineLevel="0" collapsed="false"/>
    <row r="3271" customFormat="false" ht="12.75" hidden="false" customHeight="true" outlineLevel="0" collapsed="false"/>
    <row r="3272" customFormat="false" ht="12.75" hidden="false" customHeight="true" outlineLevel="0" collapsed="false"/>
    <row r="3273" customFormat="false" ht="12.75" hidden="false" customHeight="true" outlineLevel="0" collapsed="false"/>
    <row r="3274" customFormat="false" ht="12.75" hidden="false" customHeight="true" outlineLevel="0" collapsed="false"/>
    <row r="3275" customFormat="false" ht="12.75" hidden="false" customHeight="true" outlineLevel="0" collapsed="false"/>
    <row r="3276" customFormat="false" ht="12.75" hidden="false" customHeight="true" outlineLevel="0" collapsed="false"/>
    <row r="3277" customFormat="false" ht="12.75" hidden="false" customHeight="true" outlineLevel="0" collapsed="false"/>
    <row r="3278" customFormat="false" ht="12.75" hidden="false" customHeight="true" outlineLevel="0" collapsed="false"/>
    <row r="3279" customFormat="false" ht="12.75" hidden="false" customHeight="true" outlineLevel="0" collapsed="false"/>
    <row r="3280" customFormat="false" ht="12.75" hidden="false" customHeight="true" outlineLevel="0" collapsed="false"/>
    <row r="3281" customFormat="false" ht="12.75" hidden="false" customHeight="true" outlineLevel="0" collapsed="false"/>
    <row r="3282" customFormat="false" ht="12.75" hidden="false" customHeight="true" outlineLevel="0" collapsed="false"/>
    <row r="3283" customFormat="false" ht="12.75" hidden="false" customHeight="true" outlineLevel="0" collapsed="false"/>
    <row r="3284" customFormat="false" ht="12.75" hidden="false" customHeight="true" outlineLevel="0" collapsed="false"/>
    <row r="3285" customFormat="false" ht="12.75" hidden="false" customHeight="true" outlineLevel="0" collapsed="false"/>
    <row r="3286" customFormat="false" ht="12.75" hidden="false" customHeight="true" outlineLevel="0" collapsed="false"/>
    <row r="3287" customFormat="false" ht="12.75" hidden="false" customHeight="true" outlineLevel="0" collapsed="false"/>
    <row r="3288" customFormat="false" ht="12.75" hidden="false" customHeight="true" outlineLevel="0" collapsed="false"/>
    <row r="3289" customFormat="false" ht="12.75" hidden="false" customHeight="true" outlineLevel="0" collapsed="false"/>
    <row r="3290" customFormat="false" ht="12.75" hidden="false" customHeight="true" outlineLevel="0" collapsed="false"/>
    <row r="3291" customFormat="false" ht="12.75" hidden="false" customHeight="true" outlineLevel="0" collapsed="false"/>
    <row r="3292" customFormat="false" ht="12.75" hidden="false" customHeight="true" outlineLevel="0" collapsed="false"/>
    <row r="3293" customFormat="false" ht="12.75" hidden="false" customHeight="true" outlineLevel="0" collapsed="false"/>
    <row r="3294" customFormat="false" ht="12.75" hidden="false" customHeight="true" outlineLevel="0" collapsed="false"/>
    <row r="3295" customFormat="false" ht="12.75" hidden="false" customHeight="true" outlineLevel="0" collapsed="false"/>
    <row r="3296" customFormat="false" ht="12.75" hidden="false" customHeight="true" outlineLevel="0" collapsed="false"/>
    <row r="3297" customFormat="false" ht="12.75" hidden="false" customHeight="true" outlineLevel="0" collapsed="false"/>
    <row r="3298" customFormat="false" ht="12.75" hidden="false" customHeight="true" outlineLevel="0" collapsed="false"/>
    <row r="3299" customFormat="false" ht="12.75" hidden="false" customHeight="true" outlineLevel="0" collapsed="false"/>
    <row r="3300" customFormat="false" ht="12.75" hidden="false" customHeight="true" outlineLevel="0" collapsed="false"/>
    <row r="3301" customFormat="false" ht="12.75" hidden="false" customHeight="true" outlineLevel="0" collapsed="false"/>
    <row r="3302" customFormat="false" ht="12.75" hidden="false" customHeight="true" outlineLevel="0" collapsed="false"/>
    <row r="3303" customFormat="false" ht="12.75" hidden="false" customHeight="true" outlineLevel="0" collapsed="false"/>
    <row r="3304" customFormat="false" ht="12.75" hidden="false" customHeight="true" outlineLevel="0" collapsed="false"/>
    <row r="3305" customFormat="false" ht="12.75" hidden="false" customHeight="true" outlineLevel="0" collapsed="false"/>
    <row r="3306" customFormat="false" ht="12.75" hidden="false" customHeight="true" outlineLevel="0" collapsed="false"/>
    <row r="3307" customFormat="false" ht="12.75" hidden="false" customHeight="true" outlineLevel="0" collapsed="false"/>
    <row r="3308" customFormat="false" ht="12.75" hidden="false" customHeight="true" outlineLevel="0" collapsed="false"/>
    <row r="3309" customFormat="false" ht="12.75" hidden="false" customHeight="true" outlineLevel="0" collapsed="false"/>
    <row r="3310" customFormat="false" ht="12.75" hidden="false" customHeight="true" outlineLevel="0" collapsed="false"/>
    <row r="3311" customFormat="false" ht="12.75" hidden="false" customHeight="true" outlineLevel="0" collapsed="false"/>
    <row r="3312" customFormat="false" ht="12.75" hidden="false" customHeight="true" outlineLevel="0" collapsed="false"/>
    <row r="3313" customFormat="false" ht="12.75" hidden="false" customHeight="true" outlineLevel="0" collapsed="false"/>
    <row r="3314" customFormat="false" ht="12.75" hidden="false" customHeight="true" outlineLevel="0" collapsed="false"/>
    <row r="3315" customFormat="false" ht="12.75" hidden="false" customHeight="true" outlineLevel="0" collapsed="false"/>
    <row r="3316" customFormat="false" ht="12.75" hidden="false" customHeight="true" outlineLevel="0" collapsed="false"/>
    <row r="3317" customFormat="false" ht="12.75" hidden="false" customHeight="true" outlineLevel="0" collapsed="false"/>
    <row r="3318" customFormat="false" ht="12.75" hidden="false" customHeight="true" outlineLevel="0" collapsed="false"/>
    <row r="3319" customFormat="false" ht="12.75" hidden="false" customHeight="true" outlineLevel="0" collapsed="false"/>
    <row r="3320" customFormat="false" ht="12.75" hidden="false" customHeight="true" outlineLevel="0" collapsed="false"/>
    <row r="3321" customFormat="false" ht="12.75" hidden="false" customHeight="true" outlineLevel="0" collapsed="false"/>
    <row r="3322" customFormat="false" ht="12.75" hidden="false" customHeight="true" outlineLevel="0" collapsed="false"/>
    <row r="3323" customFormat="false" ht="12.75" hidden="false" customHeight="true" outlineLevel="0" collapsed="false"/>
    <row r="3324" customFormat="false" ht="12.75" hidden="false" customHeight="true" outlineLevel="0" collapsed="false"/>
    <row r="3325" customFormat="false" ht="12.75" hidden="false" customHeight="true" outlineLevel="0" collapsed="false"/>
    <row r="3326" customFormat="false" ht="12.75" hidden="false" customHeight="true" outlineLevel="0" collapsed="false"/>
    <row r="3327" customFormat="false" ht="12.75" hidden="false" customHeight="true" outlineLevel="0" collapsed="false"/>
    <row r="3328" customFormat="false" ht="12.75" hidden="false" customHeight="true" outlineLevel="0" collapsed="false"/>
    <row r="3329" customFormat="false" ht="12.75" hidden="false" customHeight="true" outlineLevel="0" collapsed="false"/>
    <row r="3330" customFormat="false" ht="12.75" hidden="false" customHeight="true" outlineLevel="0" collapsed="false"/>
    <row r="3331" customFormat="false" ht="12.75" hidden="false" customHeight="true" outlineLevel="0" collapsed="false"/>
    <row r="3332" customFormat="false" ht="12.75" hidden="false" customHeight="true" outlineLevel="0" collapsed="false"/>
    <row r="3333" customFormat="false" ht="12.75" hidden="false" customHeight="true" outlineLevel="0" collapsed="false"/>
    <row r="3334" customFormat="false" ht="12.75" hidden="false" customHeight="true" outlineLevel="0" collapsed="false"/>
    <row r="3335" customFormat="false" ht="12.75" hidden="false" customHeight="true" outlineLevel="0" collapsed="false"/>
    <row r="3336" customFormat="false" ht="12.75" hidden="false" customHeight="true" outlineLevel="0" collapsed="false"/>
    <row r="3337" customFormat="false" ht="12.75" hidden="false" customHeight="true" outlineLevel="0" collapsed="false"/>
    <row r="3338" customFormat="false" ht="12.75" hidden="false" customHeight="true" outlineLevel="0" collapsed="false"/>
    <row r="3339" customFormat="false" ht="12.75" hidden="false" customHeight="true" outlineLevel="0" collapsed="false"/>
    <row r="3340" customFormat="false" ht="12.75" hidden="false" customHeight="true" outlineLevel="0" collapsed="false"/>
    <row r="3341" customFormat="false" ht="12.75" hidden="false" customHeight="true" outlineLevel="0" collapsed="false"/>
    <row r="3342" customFormat="false" ht="12.75" hidden="false" customHeight="true" outlineLevel="0" collapsed="false"/>
    <row r="3343" customFormat="false" ht="12.75" hidden="false" customHeight="true" outlineLevel="0" collapsed="false"/>
    <row r="3344" customFormat="false" ht="12.75" hidden="false" customHeight="true" outlineLevel="0" collapsed="false"/>
    <row r="3345" customFormat="false" ht="12.75" hidden="false" customHeight="true" outlineLevel="0" collapsed="false"/>
    <row r="3346" customFormat="false" ht="12.75" hidden="false" customHeight="true" outlineLevel="0" collapsed="false"/>
    <row r="3347" customFormat="false" ht="12.75" hidden="false" customHeight="true" outlineLevel="0" collapsed="false"/>
    <row r="3348" customFormat="false" ht="12.75" hidden="false" customHeight="true" outlineLevel="0" collapsed="false"/>
    <row r="3349" customFormat="false" ht="12.75" hidden="false" customHeight="true" outlineLevel="0" collapsed="false"/>
    <row r="3350" customFormat="false" ht="12.75" hidden="false" customHeight="true" outlineLevel="0" collapsed="false"/>
    <row r="3351" customFormat="false" ht="12.75" hidden="false" customHeight="true" outlineLevel="0" collapsed="false"/>
    <row r="3352" customFormat="false" ht="12.75" hidden="false" customHeight="true" outlineLevel="0" collapsed="false"/>
    <row r="3353" customFormat="false" ht="12.75" hidden="false" customHeight="true" outlineLevel="0" collapsed="false"/>
    <row r="3354" customFormat="false" ht="12.75" hidden="false" customHeight="true" outlineLevel="0" collapsed="false"/>
    <row r="3355" customFormat="false" ht="12.75" hidden="false" customHeight="true" outlineLevel="0" collapsed="false"/>
    <row r="3356" customFormat="false" ht="12.75" hidden="false" customHeight="true" outlineLevel="0" collapsed="false"/>
    <row r="3357" customFormat="false" ht="12.75" hidden="false" customHeight="true" outlineLevel="0" collapsed="false"/>
    <row r="3358" customFormat="false" ht="12.75" hidden="false" customHeight="true" outlineLevel="0" collapsed="false"/>
    <row r="3359" customFormat="false" ht="12.75" hidden="false" customHeight="true" outlineLevel="0" collapsed="false"/>
    <row r="3360" customFormat="false" ht="12.75" hidden="false" customHeight="true" outlineLevel="0" collapsed="false"/>
    <row r="3361" customFormat="false" ht="12.75" hidden="false" customHeight="true" outlineLevel="0" collapsed="false"/>
    <row r="3362" customFormat="false" ht="12.75" hidden="false" customHeight="true" outlineLevel="0" collapsed="false"/>
    <row r="3363" customFormat="false" ht="12.75" hidden="false" customHeight="true" outlineLevel="0" collapsed="false"/>
    <row r="3364" customFormat="false" ht="12.75" hidden="false" customHeight="true" outlineLevel="0" collapsed="false"/>
    <row r="3365" customFormat="false" ht="12.75" hidden="false" customHeight="true" outlineLevel="0" collapsed="false"/>
    <row r="3366" customFormat="false" ht="12.75" hidden="false" customHeight="true" outlineLevel="0" collapsed="false"/>
    <row r="3367" customFormat="false" ht="12.75" hidden="false" customHeight="true" outlineLevel="0" collapsed="false"/>
    <row r="3368" customFormat="false" ht="12.75" hidden="false" customHeight="true" outlineLevel="0" collapsed="false"/>
    <row r="3369" customFormat="false" ht="12.75" hidden="false" customHeight="true" outlineLevel="0" collapsed="false"/>
    <row r="3370" customFormat="false" ht="12.75" hidden="false" customHeight="true" outlineLevel="0" collapsed="false"/>
    <row r="3371" customFormat="false" ht="12.75" hidden="false" customHeight="true" outlineLevel="0" collapsed="false"/>
    <row r="3372" customFormat="false" ht="12.75" hidden="false" customHeight="true" outlineLevel="0" collapsed="false"/>
    <row r="3373" customFormat="false" ht="12.75" hidden="false" customHeight="true" outlineLevel="0" collapsed="false"/>
    <row r="3374" customFormat="false" ht="12.75" hidden="false" customHeight="true" outlineLevel="0" collapsed="false"/>
    <row r="3375" customFormat="false" ht="12.75" hidden="false" customHeight="true" outlineLevel="0" collapsed="false"/>
    <row r="3376" customFormat="false" ht="12.75" hidden="false" customHeight="true" outlineLevel="0" collapsed="false"/>
    <row r="3377" customFormat="false" ht="12.75" hidden="false" customHeight="true" outlineLevel="0" collapsed="false"/>
    <row r="3378" customFormat="false" ht="12.75" hidden="false" customHeight="true" outlineLevel="0" collapsed="false"/>
    <row r="3379" customFormat="false" ht="12.75" hidden="false" customHeight="true" outlineLevel="0" collapsed="false"/>
    <row r="3380" customFormat="false" ht="12.75" hidden="false" customHeight="true" outlineLevel="0" collapsed="false"/>
    <row r="3381" customFormat="false" ht="12.75" hidden="false" customHeight="true" outlineLevel="0" collapsed="false"/>
    <row r="3382" customFormat="false" ht="12.75" hidden="false" customHeight="true" outlineLevel="0" collapsed="false"/>
    <row r="3383" customFormat="false" ht="12.75" hidden="false" customHeight="true" outlineLevel="0" collapsed="false"/>
    <row r="3384" customFormat="false" ht="12.75" hidden="false" customHeight="true" outlineLevel="0" collapsed="false"/>
    <row r="3385" customFormat="false" ht="12.75" hidden="false" customHeight="true" outlineLevel="0" collapsed="false"/>
    <row r="3386" customFormat="false" ht="12.75" hidden="false" customHeight="true" outlineLevel="0" collapsed="false"/>
    <row r="3387" customFormat="false" ht="12.75" hidden="false" customHeight="true" outlineLevel="0" collapsed="false"/>
    <row r="3388" customFormat="false" ht="12.75" hidden="false" customHeight="true" outlineLevel="0" collapsed="false"/>
    <row r="3389" customFormat="false" ht="12.75" hidden="false" customHeight="true" outlineLevel="0" collapsed="false"/>
    <row r="3390" customFormat="false" ht="12.75" hidden="false" customHeight="true" outlineLevel="0" collapsed="false"/>
    <row r="3391" customFormat="false" ht="12.75" hidden="false" customHeight="true" outlineLevel="0" collapsed="false"/>
    <row r="3392" customFormat="false" ht="12.75" hidden="false" customHeight="true" outlineLevel="0" collapsed="false"/>
    <row r="3393" customFormat="false" ht="12.75" hidden="false" customHeight="true" outlineLevel="0" collapsed="false"/>
    <row r="3394" customFormat="false" ht="12.75" hidden="false" customHeight="true" outlineLevel="0" collapsed="false"/>
    <row r="3395" customFormat="false" ht="12.75" hidden="false" customHeight="true" outlineLevel="0" collapsed="false"/>
    <row r="3396" customFormat="false" ht="12.75" hidden="false" customHeight="true" outlineLevel="0" collapsed="false"/>
    <row r="3397" customFormat="false" ht="12.75" hidden="false" customHeight="true" outlineLevel="0" collapsed="false"/>
    <row r="3398" customFormat="false" ht="12.75" hidden="false" customHeight="true" outlineLevel="0" collapsed="false"/>
    <row r="3399" customFormat="false" ht="12.75" hidden="false" customHeight="true" outlineLevel="0" collapsed="false"/>
    <row r="3400" customFormat="false" ht="12.75" hidden="false" customHeight="true" outlineLevel="0" collapsed="false"/>
    <row r="3401" customFormat="false" ht="12.75" hidden="false" customHeight="true" outlineLevel="0" collapsed="false"/>
    <row r="3402" customFormat="false" ht="12.75" hidden="false" customHeight="true" outlineLevel="0" collapsed="false"/>
    <row r="3403" customFormat="false" ht="12.75" hidden="false" customHeight="true" outlineLevel="0" collapsed="false"/>
    <row r="3404" customFormat="false" ht="12.75" hidden="false" customHeight="true" outlineLevel="0" collapsed="false"/>
    <row r="3405" customFormat="false" ht="12.75" hidden="false" customHeight="true" outlineLevel="0" collapsed="false"/>
    <row r="3406" customFormat="false" ht="12.75" hidden="false" customHeight="true" outlineLevel="0" collapsed="false"/>
    <row r="3407" customFormat="false" ht="12.75" hidden="false" customHeight="true" outlineLevel="0" collapsed="false"/>
    <row r="3408" customFormat="false" ht="12.75" hidden="false" customHeight="true" outlineLevel="0" collapsed="false"/>
    <row r="3409" customFormat="false" ht="12.75" hidden="false" customHeight="true" outlineLevel="0" collapsed="false"/>
    <row r="3410" customFormat="false" ht="12.75" hidden="false" customHeight="true" outlineLevel="0" collapsed="false"/>
    <row r="3411" customFormat="false" ht="12.75" hidden="false" customHeight="true" outlineLevel="0" collapsed="false"/>
    <row r="3412" customFormat="false" ht="12.75" hidden="false" customHeight="true" outlineLevel="0" collapsed="false"/>
    <row r="3413" customFormat="false" ht="12.75" hidden="false" customHeight="true" outlineLevel="0" collapsed="false"/>
    <row r="3414" customFormat="false" ht="12.75" hidden="false" customHeight="true" outlineLevel="0" collapsed="false"/>
    <row r="3415" customFormat="false" ht="12.75" hidden="false" customHeight="true" outlineLevel="0" collapsed="false"/>
    <row r="3416" customFormat="false" ht="12.75" hidden="false" customHeight="true" outlineLevel="0" collapsed="false"/>
    <row r="3417" customFormat="false" ht="12.75" hidden="false" customHeight="true" outlineLevel="0" collapsed="false"/>
    <row r="3418" customFormat="false" ht="12.75" hidden="false" customHeight="true" outlineLevel="0" collapsed="false"/>
    <row r="3419" customFormat="false" ht="12.75" hidden="false" customHeight="true" outlineLevel="0" collapsed="false"/>
    <row r="3420" customFormat="false" ht="12.75" hidden="false" customHeight="true" outlineLevel="0" collapsed="false"/>
    <row r="3421" customFormat="false" ht="12.75" hidden="false" customHeight="true" outlineLevel="0" collapsed="false"/>
    <row r="3422" customFormat="false" ht="12.75" hidden="false" customHeight="true" outlineLevel="0" collapsed="false"/>
    <row r="3423" customFormat="false" ht="12.75" hidden="false" customHeight="true" outlineLevel="0" collapsed="false"/>
    <row r="3424" customFormat="false" ht="12.75" hidden="false" customHeight="true" outlineLevel="0" collapsed="false"/>
    <row r="3425" customFormat="false" ht="12.75" hidden="false" customHeight="true" outlineLevel="0" collapsed="false"/>
    <row r="3426" customFormat="false" ht="12.75" hidden="false" customHeight="true" outlineLevel="0" collapsed="false"/>
    <row r="3427" customFormat="false" ht="12.75" hidden="false" customHeight="true" outlineLevel="0" collapsed="false"/>
    <row r="3428" customFormat="false" ht="12.75" hidden="false" customHeight="true" outlineLevel="0" collapsed="false"/>
    <row r="3429" customFormat="false" ht="12.75" hidden="false" customHeight="true" outlineLevel="0" collapsed="false"/>
    <row r="3430" customFormat="false" ht="12.75" hidden="false" customHeight="true" outlineLevel="0" collapsed="false"/>
    <row r="3431" customFormat="false" ht="12.75" hidden="false" customHeight="true" outlineLevel="0" collapsed="false"/>
    <row r="3432" customFormat="false" ht="12.75" hidden="false" customHeight="true" outlineLevel="0" collapsed="false"/>
    <row r="3433" customFormat="false" ht="12.75" hidden="false" customHeight="true" outlineLevel="0" collapsed="false"/>
    <row r="3434" customFormat="false" ht="12.75" hidden="false" customHeight="true" outlineLevel="0" collapsed="false"/>
    <row r="3435" customFormat="false" ht="12.75" hidden="false" customHeight="true" outlineLevel="0" collapsed="false"/>
    <row r="3436" customFormat="false" ht="12.75" hidden="false" customHeight="true" outlineLevel="0" collapsed="false"/>
    <row r="3437" customFormat="false" ht="12.75" hidden="false" customHeight="true" outlineLevel="0" collapsed="false"/>
    <row r="3438" customFormat="false" ht="12.75" hidden="false" customHeight="true" outlineLevel="0" collapsed="false"/>
    <row r="3439" customFormat="false" ht="12.75" hidden="false" customHeight="true" outlineLevel="0" collapsed="false"/>
    <row r="3440" customFormat="false" ht="12.75" hidden="false" customHeight="true" outlineLevel="0" collapsed="false"/>
    <row r="3441" customFormat="false" ht="12.75" hidden="false" customHeight="true" outlineLevel="0" collapsed="false"/>
    <row r="3442" customFormat="false" ht="12.75" hidden="false" customHeight="true" outlineLevel="0" collapsed="false"/>
    <row r="3443" customFormat="false" ht="12.75" hidden="false" customHeight="true" outlineLevel="0" collapsed="false"/>
    <row r="3444" customFormat="false" ht="12.75" hidden="false" customHeight="true" outlineLevel="0" collapsed="false"/>
    <row r="3445" customFormat="false" ht="12.75" hidden="false" customHeight="true" outlineLevel="0" collapsed="false"/>
    <row r="3446" customFormat="false" ht="12.75" hidden="false" customHeight="true" outlineLevel="0" collapsed="false"/>
    <row r="3447" customFormat="false" ht="12.75" hidden="false" customHeight="true" outlineLevel="0" collapsed="false"/>
    <row r="3448" customFormat="false" ht="12.75" hidden="false" customHeight="true" outlineLevel="0" collapsed="false"/>
    <row r="3449" customFormat="false" ht="12.75" hidden="false" customHeight="true" outlineLevel="0" collapsed="false"/>
    <row r="3450" customFormat="false" ht="12.75" hidden="false" customHeight="true" outlineLevel="0" collapsed="false"/>
    <row r="3451" customFormat="false" ht="12.75" hidden="false" customHeight="true" outlineLevel="0" collapsed="false"/>
    <row r="3452" customFormat="false" ht="12.75" hidden="false" customHeight="true" outlineLevel="0" collapsed="false"/>
    <row r="3453" customFormat="false" ht="12.75" hidden="false" customHeight="true" outlineLevel="0" collapsed="false"/>
    <row r="3454" customFormat="false" ht="12.75" hidden="false" customHeight="true" outlineLevel="0" collapsed="false"/>
    <row r="3455" customFormat="false" ht="12.75" hidden="false" customHeight="true" outlineLevel="0" collapsed="false"/>
    <row r="3456" customFormat="false" ht="12.75" hidden="false" customHeight="true" outlineLevel="0" collapsed="false"/>
    <row r="3457" customFormat="false" ht="12.75" hidden="false" customHeight="true" outlineLevel="0" collapsed="false"/>
    <row r="3458" customFormat="false" ht="12.75" hidden="false" customHeight="true" outlineLevel="0" collapsed="false"/>
    <row r="3459" customFormat="false" ht="12.75" hidden="false" customHeight="true" outlineLevel="0" collapsed="false"/>
    <row r="3460" customFormat="false" ht="12.75" hidden="false" customHeight="true" outlineLevel="0" collapsed="false"/>
    <row r="3461" customFormat="false" ht="12.75" hidden="false" customHeight="true" outlineLevel="0" collapsed="false"/>
    <row r="3462" customFormat="false" ht="12.75" hidden="false" customHeight="true" outlineLevel="0" collapsed="false"/>
    <row r="3463" customFormat="false" ht="12.75" hidden="false" customHeight="true" outlineLevel="0" collapsed="false"/>
    <row r="3464" customFormat="false" ht="12.75" hidden="false" customHeight="true" outlineLevel="0" collapsed="false"/>
    <row r="3465" customFormat="false" ht="12.75" hidden="false" customHeight="true" outlineLevel="0" collapsed="false"/>
    <row r="3466" customFormat="false" ht="12.75" hidden="false" customHeight="true" outlineLevel="0" collapsed="false"/>
    <row r="3467" customFormat="false" ht="12.75" hidden="false" customHeight="true" outlineLevel="0" collapsed="false"/>
    <row r="3468" customFormat="false" ht="12.75" hidden="false" customHeight="true" outlineLevel="0" collapsed="false"/>
    <row r="3469" customFormat="false" ht="12.75" hidden="false" customHeight="true" outlineLevel="0" collapsed="false"/>
    <row r="3470" customFormat="false" ht="12.75" hidden="false" customHeight="true" outlineLevel="0" collapsed="false"/>
    <row r="3471" customFormat="false" ht="12.75" hidden="false" customHeight="true" outlineLevel="0" collapsed="false"/>
    <row r="3472" customFormat="false" ht="12.75" hidden="false" customHeight="true" outlineLevel="0" collapsed="false"/>
    <row r="3473" customFormat="false" ht="12.75" hidden="false" customHeight="true" outlineLevel="0" collapsed="false"/>
    <row r="3474" customFormat="false" ht="12.75" hidden="false" customHeight="true" outlineLevel="0" collapsed="false"/>
    <row r="3475" customFormat="false" ht="12.75" hidden="false" customHeight="true" outlineLevel="0" collapsed="false"/>
    <row r="3476" customFormat="false" ht="12.75" hidden="false" customHeight="true" outlineLevel="0" collapsed="false"/>
    <row r="3477" customFormat="false" ht="12.75" hidden="false" customHeight="true" outlineLevel="0" collapsed="false"/>
    <row r="3478" customFormat="false" ht="12.75" hidden="false" customHeight="true" outlineLevel="0" collapsed="false"/>
    <row r="3479" customFormat="false" ht="12.75" hidden="false" customHeight="true" outlineLevel="0" collapsed="false"/>
    <row r="3480" customFormat="false" ht="12.75" hidden="false" customHeight="true" outlineLevel="0" collapsed="false"/>
    <row r="3481" customFormat="false" ht="12.75" hidden="false" customHeight="true" outlineLevel="0" collapsed="false"/>
    <row r="3482" customFormat="false" ht="12.75" hidden="false" customHeight="true" outlineLevel="0" collapsed="false"/>
    <row r="3483" customFormat="false" ht="12.75" hidden="false" customHeight="true" outlineLevel="0" collapsed="false"/>
    <row r="3484" customFormat="false" ht="12.75" hidden="false" customHeight="true" outlineLevel="0" collapsed="false"/>
    <row r="3485" customFormat="false" ht="12.75" hidden="false" customHeight="true" outlineLevel="0" collapsed="false"/>
    <row r="3486" customFormat="false" ht="12.75" hidden="false" customHeight="true" outlineLevel="0" collapsed="false"/>
    <row r="3487" customFormat="false" ht="12.75" hidden="false" customHeight="true" outlineLevel="0" collapsed="false"/>
    <row r="3488" customFormat="false" ht="12.75" hidden="false" customHeight="true" outlineLevel="0" collapsed="false"/>
    <row r="3489" customFormat="false" ht="12.75" hidden="false" customHeight="true" outlineLevel="0" collapsed="false"/>
    <row r="3490" customFormat="false" ht="12.75" hidden="false" customHeight="true" outlineLevel="0" collapsed="false"/>
    <row r="3491" customFormat="false" ht="12.75" hidden="false" customHeight="true" outlineLevel="0" collapsed="false"/>
    <row r="3492" customFormat="false" ht="12.75" hidden="false" customHeight="true" outlineLevel="0" collapsed="false"/>
    <row r="3493" customFormat="false" ht="12.75" hidden="false" customHeight="true" outlineLevel="0" collapsed="false"/>
    <row r="3494" customFormat="false" ht="12.75" hidden="false" customHeight="true" outlineLevel="0" collapsed="false"/>
    <row r="3495" customFormat="false" ht="12.75" hidden="false" customHeight="true" outlineLevel="0" collapsed="false"/>
    <row r="3496" customFormat="false" ht="12.75" hidden="false" customHeight="true" outlineLevel="0" collapsed="false"/>
    <row r="3497" customFormat="false" ht="12.75" hidden="false" customHeight="true" outlineLevel="0" collapsed="false"/>
    <row r="3498" customFormat="false" ht="12.75" hidden="false" customHeight="true" outlineLevel="0" collapsed="false"/>
    <row r="3499" customFormat="false" ht="12.75" hidden="false" customHeight="true" outlineLevel="0" collapsed="false"/>
    <row r="3500" customFormat="false" ht="12.75" hidden="false" customHeight="true" outlineLevel="0" collapsed="false"/>
    <row r="3501" customFormat="false" ht="12.75" hidden="false" customHeight="true" outlineLevel="0" collapsed="false"/>
    <row r="3502" customFormat="false" ht="12.75" hidden="false" customHeight="true" outlineLevel="0" collapsed="false"/>
    <row r="3503" customFormat="false" ht="12.75" hidden="false" customHeight="true" outlineLevel="0" collapsed="false"/>
    <row r="3504" customFormat="false" ht="12.75" hidden="false" customHeight="true" outlineLevel="0" collapsed="false"/>
    <row r="3505" customFormat="false" ht="12.75" hidden="false" customHeight="true" outlineLevel="0" collapsed="false"/>
    <row r="3506" customFormat="false" ht="12.75" hidden="false" customHeight="true" outlineLevel="0" collapsed="false"/>
    <row r="3507" customFormat="false" ht="12.75" hidden="false" customHeight="true" outlineLevel="0" collapsed="false"/>
    <row r="3508" customFormat="false" ht="12.75" hidden="false" customHeight="true" outlineLevel="0" collapsed="false"/>
    <row r="3509" customFormat="false" ht="12.75" hidden="false" customHeight="true" outlineLevel="0" collapsed="false"/>
    <row r="3510" customFormat="false" ht="12.75" hidden="false" customHeight="true" outlineLevel="0" collapsed="false"/>
    <row r="3511" customFormat="false" ht="12.75" hidden="false" customHeight="true" outlineLevel="0" collapsed="false"/>
    <row r="3512" customFormat="false" ht="12.75" hidden="false" customHeight="true" outlineLevel="0" collapsed="false"/>
    <row r="3513" customFormat="false" ht="12.75" hidden="false" customHeight="true" outlineLevel="0" collapsed="false"/>
    <row r="3514" customFormat="false" ht="12.75" hidden="false" customHeight="true" outlineLevel="0" collapsed="false"/>
    <row r="3515" customFormat="false" ht="12.75" hidden="false" customHeight="true" outlineLevel="0" collapsed="false"/>
    <row r="3516" customFormat="false" ht="12.75" hidden="false" customHeight="true" outlineLevel="0" collapsed="false"/>
    <row r="3517" customFormat="false" ht="12.75" hidden="false" customHeight="true" outlineLevel="0" collapsed="false"/>
    <row r="3518" customFormat="false" ht="12.75" hidden="false" customHeight="true" outlineLevel="0" collapsed="false"/>
    <row r="3519" customFormat="false" ht="12.75" hidden="false" customHeight="true" outlineLevel="0" collapsed="false"/>
    <row r="3520" customFormat="false" ht="12.75" hidden="false" customHeight="true" outlineLevel="0" collapsed="false"/>
    <row r="3521" customFormat="false" ht="12.75" hidden="false" customHeight="true" outlineLevel="0" collapsed="false"/>
    <row r="3522" customFormat="false" ht="12.75" hidden="false" customHeight="true" outlineLevel="0" collapsed="false"/>
    <row r="3523" customFormat="false" ht="12.75" hidden="false" customHeight="true" outlineLevel="0" collapsed="false"/>
    <row r="3524" customFormat="false" ht="12.75" hidden="false" customHeight="true" outlineLevel="0" collapsed="false"/>
    <row r="3525" customFormat="false" ht="12.75" hidden="false" customHeight="true" outlineLevel="0" collapsed="false"/>
    <row r="3526" customFormat="false" ht="12.75" hidden="false" customHeight="true" outlineLevel="0" collapsed="false"/>
    <row r="3527" customFormat="false" ht="12.75" hidden="false" customHeight="true" outlineLevel="0" collapsed="false"/>
    <row r="3528" customFormat="false" ht="12.75" hidden="false" customHeight="true" outlineLevel="0" collapsed="false"/>
    <row r="3529" customFormat="false" ht="12.75" hidden="false" customHeight="true" outlineLevel="0" collapsed="false"/>
    <row r="3530" customFormat="false" ht="12.75" hidden="false" customHeight="true" outlineLevel="0" collapsed="false"/>
    <row r="3531" customFormat="false" ht="12.75" hidden="false" customHeight="true" outlineLevel="0" collapsed="false"/>
    <row r="3532" customFormat="false" ht="12.75" hidden="false" customHeight="true" outlineLevel="0" collapsed="false"/>
    <row r="3533" customFormat="false" ht="12.75" hidden="false" customHeight="true" outlineLevel="0" collapsed="false"/>
    <row r="3534" customFormat="false" ht="12.75" hidden="false" customHeight="true" outlineLevel="0" collapsed="false"/>
    <row r="3535" customFormat="false" ht="12.75" hidden="false" customHeight="true" outlineLevel="0" collapsed="false"/>
    <row r="3536" customFormat="false" ht="12.75" hidden="false" customHeight="true" outlineLevel="0" collapsed="false"/>
    <row r="3537" customFormat="false" ht="12.75" hidden="false" customHeight="true" outlineLevel="0" collapsed="false"/>
    <row r="3538" customFormat="false" ht="12.75" hidden="false" customHeight="true" outlineLevel="0" collapsed="false"/>
    <row r="3539" customFormat="false" ht="12.75" hidden="false" customHeight="true" outlineLevel="0" collapsed="false"/>
    <row r="3540" customFormat="false" ht="12.75" hidden="false" customHeight="true" outlineLevel="0" collapsed="false"/>
    <row r="3541" customFormat="false" ht="12.75" hidden="false" customHeight="true" outlineLevel="0" collapsed="false"/>
    <row r="3542" customFormat="false" ht="12.75" hidden="false" customHeight="true" outlineLevel="0" collapsed="false"/>
    <row r="3543" customFormat="false" ht="12.75" hidden="false" customHeight="true" outlineLevel="0" collapsed="false"/>
    <row r="3544" customFormat="false" ht="12.75" hidden="false" customHeight="true" outlineLevel="0" collapsed="false"/>
    <row r="3545" customFormat="false" ht="12.75" hidden="false" customHeight="true" outlineLevel="0" collapsed="false"/>
    <row r="3546" customFormat="false" ht="12.75" hidden="false" customHeight="true" outlineLevel="0" collapsed="false"/>
    <row r="3547" customFormat="false" ht="12.75" hidden="false" customHeight="true" outlineLevel="0" collapsed="false"/>
    <row r="3548" customFormat="false" ht="12.75" hidden="false" customHeight="true" outlineLevel="0" collapsed="false"/>
    <row r="3549" customFormat="false" ht="12.75" hidden="false" customHeight="true" outlineLevel="0" collapsed="false"/>
    <row r="3550" customFormat="false" ht="12.75" hidden="false" customHeight="true" outlineLevel="0" collapsed="false"/>
    <row r="3551" customFormat="false" ht="12.75" hidden="false" customHeight="true" outlineLevel="0" collapsed="false"/>
    <row r="3552" customFormat="false" ht="12.75" hidden="false" customHeight="true" outlineLevel="0" collapsed="false"/>
    <row r="3553" customFormat="false" ht="12.75" hidden="false" customHeight="true" outlineLevel="0" collapsed="false"/>
    <row r="3554" customFormat="false" ht="12.75" hidden="false" customHeight="true" outlineLevel="0" collapsed="false"/>
    <row r="3555" customFormat="false" ht="12.75" hidden="false" customHeight="true" outlineLevel="0" collapsed="false"/>
    <row r="3556" customFormat="false" ht="12.75" hidden="false" customHeight="true" outlineLevel="0" collapsed="false"/>
    <row r="3557" customFormat="false" ht="12.75" hidden="false" customHeight="true" outlineLevel="0" collapsed="false"/>
    <row r="3558" customFormat="false" ht="12.75" hidden="false" customHeight="true" outlineLevel="0" collapsed="false"/>
    <row r="3559" customFormat="false" ht="12.75" hidden="false" customHeight="true" outlineLevel="0" collapsed="false"/>
    <row r="3560" customFormat="false" ht="12.75" hidden="false" customHeight="true" outlineLevel="0" collapsed="false"/>
    <row r="3561" customFormat="false" ht="12.75" hidden="false" customHeight="true" outlineLevel="0" collapsed="false"/>
    <row r="3562" customFormat="false" ht="12.75" hidden="false" customHeight="true" outlineLevel="0" collapsed="false"/>
    <row r="3563" customFormat="false" ht="12.75" hidden="false" customHeight="true" outlineLevel="0" collapsed="false"/>
    <row r="3564" customFormat="false" ht="12.75" hidden="false" customHeight="true" outlineLevel="0" collapsed="false"/>
    <row r="3565" customFormat="false" ht="12.75" hidden="false" customHeight="true" outlineLevel="0" collapsed="false"/>
    <row r="3566" customFormat="false" ht="12.75" hidden="false" customHeight="true" outlineLevel="0" collapsed="false"/>
    <row r="3567" customFormat="false" ht="12.75" hidden="false" customHeight="true" outlineLevel="0" collapsed="false"/>
    <row r="3568" customFormat="false" ht="12.75" hidden="false" customHeight="true" outlineLevel="0" collapsed="false"/>
    <row r="3569" customFormat="false" ht="12.75" hidden="false" customHeight="true" outlineLevel="0" collapsed="false"/>
    <row r="3570" customFormat="false" ht="12.75" hidden="false" customHeight="true" outlineLevel="0" collapsed="false"/>
    <row r="3571" customFormat="false" ht="12.75" hidden="false" customHeight="true" outlineLevel="0" collapsed="false"/>
    <row r="3572" customFormat="false" ht="12.75" hidden="false" customHeight="true" outlineLevel="0" collapsed="false"/>
    <row r="3573" customFormat="false" ht="12.75" hidden="false" customHeight="true" outlineLevel="0" collapsed="false"/>
    <row r="3574" customFormat="false" ht="12.75" hidden="false" customHeight="true" outlineLevel="0" collapsed="false"/>
    <row r="3575" customFormat="false" ht="12.75" hidden="false" customHeight="true" outlineLevel="0" collapsed="false"/>
    <row r="3576" customFormat="false" ht="12.75" hidden="false" customHeight="true" outlineLevel="0" collapsed="false"/>
    <row r="3577" customFormat="false" ht="12.75" hidden="false" customHeight="true" outlineLevel="0" collapsed="false"/>
    <row r="3578" customFormat="false" ht="12.75" hidden="false" customHeight="true" outlineLevel="0" collapsed="false"/>
    <row r="3579" customFormat="false" ht="12.75" hidden="false" customHeight="true" outlineLevel="0" collapsed="false"/>
    <row r="3580" customFormat="false" ht="12.75" hidden="false" customHeight="true" outlineLevel="0" collapsed="false"/>
    <row r="3581" customFormat="false" ht="12.75" hidden="false" customHeight="true" outlineLevel="0" collapsed="false"/>
    <row r="3582" customFormat="false" ht="12.75" hidden="false" customHeight="true" outlineLevel="0" collapsed="false"/>
    <row r="3583" customFormat="false" ht="12.75" hidden="false" customHeight="true" outlineLevel="0" collapsed="false"/>
    <row r="3584" customFormat="false" ht="12.75" hidden="false" customHeight="true" outlineLevel="0" collapsed="false"/>
    <row r="3585" customFormat="false" ht="12.75" hidden="false" customHeight="true" outlineLevel="0" collapsed="false"/>
    <row r="3586" customFormat="false" ht="12.75" hidden="false" customHeight="true" outlineLevel="0" collapsed="false"/>
    <row r="3587" customFormat="false" ht="12.75" hidden="false" customHeight="true" outlineLevel="0" collapsed="false"/>
    <row r="3588" customFormat="false" ht="12.75" hidden="false" customHeight="true" outlineLevel="0" collapsed="false"/>
    <row r="3589" customFormat="false" ht="12.75" hidden="false" customHeight="true" outlineLevel="0" collapsed="false"/>
    <row r="3590" customFormat="false" ht="12.75" hidden="false" customHeight="true" outlineLevel="0" collapsed="false"/>
    <row r="3591" customFormat="false" ht="12.75" hidden="false" customHeight="true" outlineLevel="0" collapsed="false"/>
    <row r="3592" customFormat="false" ht="12.75" hidden="false" customHeight="true" outlineLevel="0" collapsed="false"/>
    <row r="3593" customFormat="false" ht="12.75" hidden="false" customHeight="true" outlineLevel="0" collapsed="false"/>
    <row r="3594" customFormat="false" ht="12.75" hidden="false" customHeight="true" outlineLevel="0" collapsed="false"/>
    <row r="3595" customFormat="false" ht="12.75" hidden="false" customHeight="true" outlineLevel="0" collapsed="false"/>
    <row r="3596" customFormat="false" ht="12.75" hidden="false" customHeight="true" outlineLevel="0" collapsed="false"/>
    <row r="3597" customFormat="false" ht="12.75" hidden="false" customHeight="true" outlineLevel="0" collapsed="false"/>
    <row r="3598" customFormat="false" ht="12.75" hidden="false" customHeight="true" outlineLevel="0" collapsed="false"/>
    <row r="3599" customFormat="false" ht="12.75" hidden="false" customHeight="true" outlineLevel="0" collapsed="false"/>
    <row r="3600" customFormat="false" ht="12.75" hidden="false" customHeight="true" outlineLevel="0" collapsed="false"/>
    <row r="3601" customFormat="false" ht="12.75" hidden="false" customHeight="true" outlineLevel="0" collapsed="false"/>
    <row r="3602" customFormat="false" ht="12.75" hidden="false" customHeight="true" outlineLevel="0" collapsed="false"/>
    <row r="3603" customFormat="false" ht="12.75" hidden="false" customHeight="true" outlineLevel="0" collapsed="false"/>
    <row r="3604" customFormat="false" ht="12.75" hidden="false" customHeight="true" outlineLevel="0" collapsed="false"/>
    <row r="3605" customFormat="false" ht="12.75" hidden="false" customHeight="true" outlineLevel="0" collapsed="false"/>
    <row r="3606" customFormat="false" ht="12.75" hidden="false" customHeight="true" outlineLevel="0" collapsed="false"/>
    <row r="3607" customFormat="false" ht="12.75" hidden="false" customHeight="true" outlineLevel="0" collapsed="false"/>
    <row r="3608" customFormat="false" ht="12.75" hidden="false" customHeight="true" outlineLevel="0" collapsed="false"/>
    <row r="3609" customFormat="false" ht="12.75" hidden="false" customHeight="true" outlineLevel="0" collapsed="false"/>
    <row r="3610" customFormat="false" ht="12.75" hidden="false" customHeight="true" outlineLevel="0" collapsed="false"/>
    <row r="3611" customFormat="false" ht="12.75" hidden="false" customHeight="true" outlineLevel="0" collapsed="false"/>
    <row r="3612" customFormat="false" ht="12.75" hidden="false" customHeight="true" outlineLevel="0" collapsed="false"/>
    <row r="3613" customFormat="false" ht="12.75" hidden="false" customHeight="true" outlineLevel="0" collapsed="false"/>
    <row r="3614" customFormat="false" ht="12.75" hidden="false" customHeight="true" outlineLevel="0" collapsed="false"/>
    <row r="3615" customFormat="false" ht="12.75" hidden="false" customHeight="true" outlineLevel="0" collapsed="false"/>
    <row r="3616" customFormat="false" ht="12.75" hidden="false" customHeight="true" outlineLevel="0" collapsed="false"/>
    <row r="3617" customFormat="false" ht="12.75" hidden="false" customHeight="true" outlineLevel="0" collapsed="false"/>
    <row r="3618" customFormat="false" ht="12.75" hidden="false" customHeight="true" outlineLevel="0" collapsed="false"/>
    <row r="3619" customFormat="false" ht="12.75" hidden="false" customHeight="true" outlineLevel="0" collapsed="false"/>
    <row r="3620" customFormat="false" ht="12.75" hidden="false" customHeight="true" outlineLevel="0" collapsed="false"/>
    <row r="3621" customFormat="false" ht="12.75" hidden="false" customHeight="true" outlineLevel="0" collapsed="false"/>
    <row r="3622" customFormat="false" ht="12.75" hidden="false" customHeight="true" outlineLevel="0" collapsed="false"/>
    <row r="3623" customFormat="false" ht="12.75" hidden="false" customHeight="true" outlineLevel="0" collapsed="false"/>
    <row r="3624" customFormat="false" ht="12.75" hidden="false" customHeight="true" outlineLevel="0" collapsed="false"/>
    <row r="3625" customFormat="false" ht="12.75" hidden="false" customHeight="true" outlineLevel="0" collapsed="false"/>
    <row r="3626" customFormat="false" ht="12.75" hidden="false" customHeight="true" outlineLevel="0" collapsed="false"/>
    <row r="3627" customFormat="false" ht="12.75" hidden="false" customHeight="true" outlineLevel="0" collapsed="false"/>
    <row r="3628" customFormat="false" ht="12.75" hidden="false" customHeight="true" outlineLevel="0" collapsed="false"/>
    <row r="3629" customFormat="false" ht="12.75" hidden="false" customHeight="true" outlineLevel="0" collapsed="false"/>
    <row r="3630" customFormat="false" ht="12.75" hidden="false" customHeight="true" outlineLevel="0" collapsed="false"/>
    <row r="3631" customFormat="false" ht="12.75" hidden="false" customHeight="true" outlineLevel="0" collapsed="false"/>
    <row r="3632" customFormat="false" ht="12.75" hidden="false" customHeight="true" outlineLevel="0" collapsed="false"/>
    <row r="3633" customFormat="false" ht="12.75" hidden="false" customHeight="true" outlineLevel="0" collapsed="false"/>
    <row r="3634" customFormat="false" ht="12.75" hidden="false" customHeight="true" outlineLevel="0" collapsed="false"/>
    <row r="3635" customFormat="false" ht="12.75" hidden="false" customHeight="true" outlineLevel="0" collapsed="false"/>
    <row r="3636" customFormat="false" ht="12.75" hidden="false" customHeight="true" outlineLevel="0" collapsed="false"/>
    <row r="3637" customFormat="false" ht="12.75" hidden="false" customHeight="true" outlineLevel="0" collapsed="false"/>
    <row r="3638" customFormat="false" ht="12.75" hidden="false" customHeight="true" outlineLevel="0" collapsed="false"/>
    <row r="3639" customFormat="false" ht="12.75" hidden="false" customHeight="true" outlineLevel="0" collapsed="false"/>
    <row r="3640" customFormat="false" ht="12.75" hidden="false" customHeight="true" outlineLevel="0" collapsed="false"/>
    <row r="3641" customFormat="false" ht="12.75" hidden="false" customHeight="true" outlineLevel="0" collapsed="false"/>
    <row r="3642" customFormat="false" ht="12.75" hidden="false" customHeight="true" outlineLevel="0" collapsed="false"/>
    <row r="3643" customFormat="false" ht="12.75" hidden="false" customHeight="true" outlineLevel="0" collapsed="false"/>
    <row r="3644" customFormat="false" ht="12.75" hidden="false" customHeight="true" outlineLevel="0" collapsed="false"/>
    <row r="3645" customFormat="false" ht="12.75" hidden="false" customHeight="true" outlineLevel="0" collapsed="false"/>
    <row r="3646" customFormat="false" ht="12.75" hidden="false" customHeight="true" outlineLevel="0" collapsed="false"/>
    <row r="3647" customFormat="false" ht="12.75" hidden="false" customHeight="true" outlineLevel="0" collapsed="false"/>
    <row r="3648" customFormat="false" ht="12.75" hidden="false" customHeight="true" outlineLevel="0" collapsed="false"/>
    <row r="3649" customFormat="false" ht="12.75" hidden="false" customHeight="true" outlineLevel="0" collapsed="false"/>
    <row r="3650" customFormat="false" ht="12.75" hidden="false" customHeight="true" outlineLevel="0" collapsed="false"/>
    <row r="3651" customFormat="false" ht="12.75" hidden="false" customHeight="true" outlineLevel="0" collapsed="false"/>
    <row r="3652" customFormat="false" ht="12.75" hidden="false" customHeight="true" outlineLevel="0" collapsed="false"/>
    <row r="3653" customFormat="false" ht="12.75" hidden="false" customHeight="true" outlineLevel="0" collapsed="false"/>
    <row r="3654" customFormat="false" ht="12.75" hidden="false" customHeight="true" outlineLevel="0" collapsed="false"/>
    <row r="3655" customFormat="false" ht="12.75" hidden="false" customHeight="true" outlineLevel="0" collapsed="false"/>
    <row r="3656" customFormat="false" ht="12.75" hidden="false" customHeight="true" outlineLevel="0" collapsed="false"/>
    <row r="3657" customFormat="false" ht="12.75" hidden="false" customHeight="true" outlineLevel="0" collapsed="false"/>
    <row r="3658" customFormat="false" ht="12.75" hidden="false" customHeight="true" outlineLevel="0" collapsed="false"/>
    <row r="3659" customFormat="false" ht="12.75" hidden="false" customHeight="true" outlineLevel="0" collapsed="false"/>
    <row r="3660" customFormat="false" ht="12.75" hidden="false" customHeight="true" outlineLevel="0" collapsed="false"/>
    <row r="3661" customFormat="false" ht="12.75" hidden="false" customHeight="true" outlineLevel="0" collapsed="false"/>
    <row r="3662" customFormat="false" ht="12.75" hidden="false" customHeight="true" outlineLevel="0" collapsed="false"/>
    <row r="3663" customFormat="false" ht="12.75" hidden="false" customHeight="true" outlineLevel="0" collapsed="false"/>
    <row r="3664" customFormat="false" ht="12.75" hidden="false" customHeight="true" outlineLevel="0" collapsed="false"/>
    <row r="3665" customFormat="false" ht="12.75" hidden="false" customHeight="true" outlineLevel="0" collapsed="false"/>
    <row r="3666" customFormat="false" ht="12.75" hidden="false" customHeight="true" outlineLevel="0" collapsed="false"/>
    <row r="3667" customFormat="false" ht="12.75" hidden="false" customHeight="true" outlineLevel="0" collapsed="false"/>
    <row r="3668" customFormat="false" ht="12.75" hidden="false" customHeight="true" outlineLevel="0" collapsed="false"/>
    <row r="3669" customFormat="false" ht="12.75" hidden="false" customHeight="true" outlineLevel="0" collapsed="false"/>
    <row r="3670" customFormat="false" ht="12.75" hidden="false" customHeight="true" outlineLevel="0" collapsed="false"/>
    <row r="3671" customFormat="false" ht="12.75" hidden="false" customHeight="true" outlineLevel="0" collapsed="false"/>
    <row r="3672" customFormat="false" ht="12.75" hidden="false" customHeight="true" outlineLevel="0" collapsed="false"/>
    <row r="3673" customFormat="false" ht="12.75" hidden="false" customHeight="true" outlineLevel="0" collapsed="false"/>
    <row r="3674" customFormat="false" ht="12.75" hidden="false" customHeight="true" outlineLevel="0" collapsed="false"/>
    <row r="3675" customFormat="false" ht="12.75" hidden="false" customHeight="true" outlineLevel="0" collapsed="false"/>
    <row r="3676" customFormat="false" ht="12.75" hidden="false" customHeight="true" outlineLevel="0" collapsed="false"/>
    <row r="3677" customFormat="false" ht="12.75" hidden="false" customHeight="true" outlineLevel="0" collapsed="false"/>
    <row r="3678" customFormat="false" ht="12.75" hidden="false" customHeight="true" outlineLevel="0" collapsed="false"/>
    <row r="3679" customFormat="false" ht="12.75" hidden="false" customHeight="true" outlineLevel="0" collapsed="false"/>
    <row r="3680" customFormat="false" ht="12.75" hidden="false" customHeight="true" outlineLevel="0" collapsed="false"/>
    <row r="3681" customFormat="false" ht="12.75" hidden="false" customHeight="true" outlineLevel="0" collapsed="false"/>
    <row r="3682" customFormat="false" ht="12.75" hidden="false" customHeight="true" outlineLevel="0" collapsed="false"/>
    <row r="3683" customFormat="false" ht="12.75" hidden="false" customHeight="true" outlineLevel="0" collapsed="false"/>
    <row r="3684" customFormat="false" ht="12.75" hidden="false" customHeight="true" outlineLevel="0" collapsed="false"/>
    <row r="3685" customFormat="false" ht="12.75" hidden="false" customHeight="true" outlineLevel="0" collapsed="false"/>
    <row r="3686" customFormat="false" ht="12.75" hidden="false" customHeight="true" outlineLevel="0" collapsed="false"/>
    <row r="3687" customFormat="false" ht="12.75" hidden="false" customHeight="true" outlineLevel="0" collapsed="false"/>
    <row r="3688" customFormat="false" ht="12.75" hidden="false" customHeight="true" outlineLevel="0" collapsed="false"/>
    <row r="3689" customFormat="false" ht="12.75" hidden="false" customHeight="true" outlineLevel="0" collapsed="false"/>
    <row r="3690" customFormat="false" ht="12.75" hidden="false" customHeight="true" outlineLevel="0" collapsed="false"/>
    <row r="3691" customFormat="false" ht="12.75" hidden="false" customHeight="true" outlineLevel="0" collapsed="false"/>
    <row r="3692" customFormat="false" ht="12.75" hidden="false" customHeight="true" outlineLevel="0" collapsed="false"/>
    <row r="3693" customFormat="false" ht="12.75" hidden="false" customHeight="true" outlineLevel="0" collapsed="false"/>
    <row r="3694" customFormat="false" ht="12.75" hidden="false" customHeight="true" outlineLevel="0" collapsed="false"/>
    <row r="3695" customFormat="false" ht="12.75" hidden="false" customHeight="true" outlineLevel="0" collapsed="false"/>
    <row r="3696" customFormat="false" ht="12.75" hidden="false" customHeight="true" outlineLevel="0" collapsed="false"/>
    <row r="3697" customFormat="false" ht="12.75" hidden="false" customHeight="true" outlineLevel="0" collapsed="false"/>
    <row r="3698" customFormat="false" ht="12.75" hidden="false" customHeight="true" outlineLevel="0" collapsed="false"/>
    <row r="3699" customFormat="false" ht="12.75" hidden="false" customHeight="true" outlineLevel="0" collapsed="false"/>
    <row r="3700" customFormat="false" ht="12.75" hidden="false" customHeight="true" outlineLevel="0" collapsed="false"/>
    <row r="3701" customFormat="false" ht="12.75" hidden="false" customHeight="true" outlineLevel="0" collapsed="false"/>
    <row r="3702" customFormat="false" ht="12.75" hidden="false" customHeight="true" outlineLevel="0" collapsed="false"/>
    <row r="3703" customFormat="false" ht="12.75" hidden="false" customHeight="true" outlineLevel="0" collapsed="false"/>
    <row r="3704" customFormat="false" ht="12.75" hidden="false" customHeight="true" outlineLevel="0" collapsed="false"/>
    <row r="3705" customFormat="false" ht="12.75" hidden="false" customHeight="true" outlineLevel="0" collapsed="false"/>
    <row r="3706" customFormat="false" ht="12.75" hidden="false" customHeight="true" outlineLevel="0" collapsed="false"/>
    <row r="3707" customFormat="false" ht="12.75" hidden="false" customHeight="true" outlineLevel="0" collapsed="false"/>
    <row r="3708" customFormat="false" ht="12.75" hidden="false" customHeight="true" outlineLevel="0" collapsed="false"/>
    <row r="3709" customFormat="false" ht="12.75" hidden="false" customHeight="true" outlineLevel="0" collapsed="false"/>
    <row r="3710" customFormat="false" ht="12.75" hidden="false" customHeight="true" outlineLevel="0" collapsed="false"/>
    <row r="3711" customFormat="false" ht="12.75" hidden="false" customHeight="true" outlineLevel="0" collapsed="false"/>
    <row r="3712" customFormat="false" ht="12.75" hidden="false" customHeight="true" outlineLevel="0" collapsed="false"/>
    <row r="3713" customFormat="false" ht="12.75" hidden="false" customHeight="true" outlineLevel="0" collapsed="false"/>
    <row r="3714" customFormat="false" ht="12.75" hidden="false" customHeight="true" outlineLevel="0" collapsed="false"/>
    <row r="3715" customFormat="false" ht="12.75" hidden="false" customHeight="true" outlineLevel="0" collapsed="false"/>
    <row r="3716" customFormat="false" ht="12.75" hidden="false" customHeight="true" outlineLevel="0" collapsed="false"/>
    <row r="3717" customFormat="false" ht="12.75" hidden="false" customHeight="true" outlineLevel="0" collapsed="false"/>
    <row r="3718" customFormat="false" ht="12.75" hidden="false" customHeight="true" outlineLevel="0" collapsed="false"/>
    <row r="3719" customFormat="false" ht="12.75" hidden="false" customHeight="true" outlineLevel="0" collapsed="false"/>
    <row r="3720" customFormat="false" ht="12.75" hidden="false" customHeight="true" outlineLevel="0" collapsed="false"/>
    <row r="3721" customFormat="false" ht="12.75" hidden="false" customHeight="true" outlineLevel="0" collapsed="false"/>
    <row r="3722" customFormat="false" ht="12.75" hidden="false" customHeight="true" outlineLevel="0" collapsed="false"/>
    <row r="3723" customFormat="false" ht="12.75" hidden="false" customHeight="true" outlineLevel="0" collapsed="false"/>
    <row r="3724" customFormat="false" ht="12.75" hidden="false" customHeight="true" outlineLevel="0" collapsed="false"/>
    <row r="3725" customFormat="false" ht="12.75" hidden="false" customHeight="true" outlineLevel="0" collapsed="false"/>
    <row r="3726" customFormat="false" ht="12.75" hidden="false" customHeight="true" outlineLevel="0" collapsed="false"/>
    <row r="3727" customFormat="false" ht="12.75" hidden="false" customHeight="true" outlineLevel="0" collapsed="false"/>
    <row r="3728" customFormat="false" ht="12.75" hidden="false" customHeight="true" outlineLevel="0" collapsed="false"/>
    <row r="3729" customFormat="false" ht="12.75" hidden="false" customHeight="true" outlineLevel="0" collapsed="false"/>
    <row r="3730" customFormat="false" ht="12.75" hidden="false" customHeight="true" outlineLevel="0" collapsed="false"/>
    <row r="3731" customFormat="false" ht="12.75" hidden="false" customHeight="true" outlineLevel="0" collapsed="false"/>
    <row r="3732" customFormat="false" ht="12.75" hidden="false" customHeight="true" outlineLevel="0" collapsed="false"/>
    <row r="3733" customFormat="false" ht="12.75" hidden="false" customHeight="true" outlineLevel="0" collapsed="false"/>
    <row r="3734" customFormat="false" ht="12.75" hidden="false" customHeight="true" outlineLevel="0" collapsed="false"/>
    <row r="3735" customFormat="false" ht="12.75" hidden="false" customHeight="true" outlineLevel="0" collapsed="false"/>
    <row r="3736" customFormat="false" ht="12.75" hidden="false" customHeight="true" outlineLevel="0" collapsed="false"/>
    <row r="3737" customFormat="false" ht="12.75" hidden="false" customHeight="true" outlineLevel="0" collapsed="false"/>
    <row r="3738" customFormat="false" ht="12.75" hidden="false" customHeight="true" outlineLevel="0" collapsed="false"/>
    <row r="3739" customFormat="false" ht="12.75" hidden="false" customHeight="true" outlineLevel="0" collapsed="false"/>
    <row r="3740" customFormat="false" ht="12.75" hidden="false" customHeight="true" outlineLevel="0" collapsed="false"/>
    <row r="3741" customFormat="false" ht="12.75" hidden="false" customHeight="true" outlineLevel="0" collapsed="false"/>
    <row r="3742" customFormat="false" ht="12.75" hidden="false" customHeight="true" outlineLevel="0" collapsed="false"/>
    <row r="3743" customFormat="false" ht="12.75" hidden="false" customHeight="true" outlineLevel="0" collapsed="false"/>
    <row r="3744" customFormat="false" ht="12.75" hidden="false" customHeight="true" outlineLevel="0" collapsed="false"/>
    <row r="3745" customFormat="false" ht="12.75" hidden="false" customHeight="true" outlineLevel="0" collapsed="false"/>
    <row r="3746" customFormat="false" ht="12.75" hidden="false" customHeight="true" outlineLevel="0" collapsed="false"/>
    <row r="3747" customFormat="false" ht="12.75" hidden="false" customHeight="true" outlineLevel="0" collapsed="false"/>
    <row r="3748" customFormat="false" ht="12.75" hidden="false" customHeight="true" outlineLevel="0" collapsed="false"/>
    <row r="3749" customFormat="false" ht="12.75" hidden="false" customHeight="true" outlineLevel="0" collapsed="false"/>
    <row r="3750" customFormat="false" ht="12.75" hidden="false" customHeight="true" outlineLevel="0" collapsed="false"/>
    <row r="3751" customFormat="false" ht="12.75" hidden="false" customHeight="true" outlineLevel="0" collapsed="false"/>
    <row r="3752" customFormat="false" ht="12.75" hidden="false" customHeight="true" outlineLevel="0" collapsed="false"/>
    <row r="3753" customFormat="false" ht="12.75" hidden="false" customHeight="true" outlineLevel="0" collapsed="false"/>
    <row r="3754" customFormat="false" ht="12.75" hidden="false" customHeight="true" outlineLevel="0" collapsed="false"/>
    <row r="3755" customFormat="false" ht="12.75" hidden="false" customHeight="true" outlineLevel="0" collapsed="false"/>
    <row r="3756" customFormat="false" ht="12.75" hidden="false" customHeight="true" outlineLevel="0" collapsed="false"/>
    <row r="3757" customFormat="false" ht="12.75" hidden="false" customHeight="true" outlineLevel="0" collapsed="false"/>
    <row r="3758" customFormat="false" ht="12.75" hidden="false" customHeight="true" outlineLevel="0" collapsed="false"/>
    <row r="3759" customFormat="false" ht="12.75" hidden="false" customHeight="true" outlineLevel="0" collapsed="false"/>
    <row r="3760" customFormat="false" ht="12.75" hidden="false" customHeight="true" outlineLevel="0" collapsed="false"/>
    <row r="3761" customFormat="false" ht="12.75" hidden="false" customHeight="true" outlineLevel="0" collapsed="false"/>
    <row r="3762" customFormat="false" ht="12.75" hidden="false" customHeight="true" outlineLevel="0" collapsed="false"/>
    <row r="3763" customFormat="false" ht="12.75" hidden="false" customHeight="true" outlineLevel="0" collapsed="false"/>
    <row r="3764" customFormat="false" ht="12.75" hidden="false" customHeight="true" outlineLevel="0" collapsed="false"/>
    <row r="3765" customFormat="false" ht="12.75" hidden="false" customHeight="true" outlineLevel="0" collapsed="false"/>
    <row r="3766" customFormat="false" ht="12.75" hidden="false" customHeight="true" outlineLevel="0" collapsed="false"/>
    <row r="3767" customFormat="false" ht="12.75" hidden="false" customHeight="true" outlineLevel="0" collapsed="false"/>
    <row r="3768" customFormat="false" ht="12.75" hidden="false" customHeight="true" outlineLevel="0" collapsed="false"/>
    <row r="3769" customFormat="false" ht="12.75" hidden="false" customHeight="true" outlineLevel="0" collapsed="false"/>
    <row r="3770" customFormat="false" ht="12.75" hidden="false" customHeight="true" outlineLevel="0" collapsed="false"/>
    <row r="3771" customFormat="false" ht="12.75" hidden="false" customHeight="true" outlineLevel="0" collapsed="false"/>
    <row r="3772" customFormat="false" ht="12.75" hidden="false" customHeight="true" outlineLevel="0" collapsed="false"/>
    <row r="3773" customFormat="false" ht="12.75" hidden="false" customHeight="true" outlineLevel="0" collapsed="false"/>
    <row r="3774" customFormat="false" ht="12.75" hidden="false" customHeight="true" outlineLevel="0" collapsed="false"/>
    <row r="3775" customFormat="false" ht="12.75" hidden="false" customHeight="true" outlineLevel="0" collapsed="false"/>
    <row r="3776" customFormat="false" ht="12.75" hidden="false" customHeight="true" outlineLevel="0" collapsed="false"/>
    <row r="3777" customFormat="false" ht="12.75" hidden="false" customHeight="true" outlineLevel="0" collapsed="false"/>
    <row r="3778" customFormat="false" ht="12.75" hidden="false" customHeight="true" outlineLevel="0" collapsed="false"/>
    <row r="3779" customFormat="false" ht="12.75" hidden="false" customHeight="true" outlineLevel="0" collapsed="false"/>
    <row r="3780" customFormat="false" ht="12.75" hidden="false" customHeight="true" outlineLevel="0" collapsed="false"/>
    <row r="3781" customFormat="false" ht="12.75" hidden="false" customHeight="true" outlineLevel="0" collapsed="false"/>
    <row r="3782" customFormat="false" ht="12.75" hidden="false" customHeight="true" outlineLevel="0" collapsed="false"/>
    <row r="3783" customFormat="false" ht="12.75" hidden="false" customHeight="true" outlineLevel="0" collapsed="false"/>
    <row r="3784" customFormat="false" ht="12.75" hidden="false" customHeight="true" outlineLevel="0" collapsed="false"/>
    <row r="3785" customFormat="false" ht="12.75" hidden="false" customHeight="true" outlineLevel="0" collapsed="false"/>
    <row r="3786" customFormat="false" ht="12.75" hidden="false" customHeight="true" outlineLevel="0" collapsed="false"/>
    <row r="3787" customFormat="false" ht="12.75" hidden="false" customHeight="true" outlineLevel="0" collapsed="false"/>
    <row r="3788" customFormat="false" ht="12.75" hidden="false" customHeight="true" outlineLevel="0" collapsed="false"/>
    <row r="3789" customFormat="false" ht="12.75" hidden="false" customHeight="true" outlineLevel="0" collapsed="false"/>
    <row r="3790" customFormat="false" ht="12.75" hidden="false" customHeight="true" outlineLevel="0" collapsed="false"/>
    <row r="3791" customFormat="false" ht="12.75" hidden="false" customHeight="true" outlineLevel="0" collapsed="false"/>
    <row r="3792" customFormat="false" ht="12.75" hidden="false" customHeight="true" outlineLevel="0" collapsed="false"/>
    <row r="3793" customFormat="false" ht="12.75" hidden="false" customHeight="true" outlineLevel="0" collapsed="false"/>
    <row r="3794" customFormat="false" ht="12.75" hidden="false" customHeight="true" outlineLevel="0" collapsed="false"/>
    <row r="3795" customFormat="false" ht="12.75" hidden="false" customHeight="true" outlineLevel="0" collapsed="false"/>
    <row r="3796" customFormat="false" ht="12.75" hidden="false" customHeight="true" outlineLevel="0" collapsed="false"/>
    <row r="3797" customFormat="false" ht="12.75" hidden="false" customHeight="true" outlineLevel="0" collapsed="false"/>
    <row r="3798" customFormat="false" ht="12.75" hidden="false" customHeight="true" outlineLevel="0" collapsed="false"/>
    <row r="3799" customFormat="false" ht="12.75" hidden="false" customHeight="true" outlineLevel="0" collapsed="false"/>
    <row r="3800" customFormat="false" ht="12.75" hidden="false" customHeight="true" outlineLevel="0" collapsed="false"/>
    <row r="3801" customFormat="false" ht="12.75" hidden="false" customHeight="true" outlineLevel="0" collapsed="false"/>
    <row r="3802" customFormat="false" ht="12.75" hidden="false" customHeight="true" outlineLevel="0" collapsed="false"/>
    <row r="3803" customFormat="false" ht="12.75" hidden="false" customHeight="true" outlineLevel="0" collapsed="false"/>
    <row r="3804" customFormat="false" ht="12.75" hidden="false" customHeight="true" outlineLevel="0" collapsed="false"/>
    <row r="3805" customFormat="false" ht="12.75" hidden="false" customHeight="true" outlineLevel="0" collapsed="false"/>
    <row r="3806" customFormat="false" ht="12.75" hidden="false" customHeight="true" outlineLevel="0" collapsed="false"/>
    <row r="3807" customFormat="false" ht="12.75" hidden="false" customHeight="true" outlineLevel="0" collapsed="false"/>
    <row r="3808" customFormat="false" ht="12.75" hidden="false" customHeight="true" outlineLevel="0" collapsed="false"/>
    <row r="3809" customFormat="false" ht="12.75" hidden="false" customHeight="true" outlineLevel="0" collapsed="false"/>
    <row r="3810" customFormat="false" ht="12.75" hidden="false" customHeight="true" outlineLevel="0" collapsed="false"/>
    <row r="3811" customFormat="false" ht="12.75" hidden="false" customHeight="true" outlineLevel="0" collapsed="false"/>
    <row r="3812" customFormat="false" ht="12.75" hidden="false" customHeight="true" outlineLevel="0" collapsed="false"/>
    <row r="3813" customFormat="false" ht="12.75" hidden="false" customHeight="true" outlineLevel="0" collapsed="false"/>
    <row r="3814" customFormat="false" ht="12.75" hidden="false" customHeight="true" outlineLevel="0" collapsed="false"/>
    <row r="3815" customFormat="false" ht="12.75" hidden="false" customHeight="true" outlineLevel="0" collapsed="false"/>
    <row r="3816" customFormat="false" ht="12.75" hidden="false" customHeight="true" outlineLevel="0" collapsed="false"/>
    <row r="3817" customFormat="false" ht="12.75" hidden="false" customHeight="true" outlineLevel="0" collapsed="false"/>
    <row r="3818" customFormat="false" ht="12.75" hidden="false" customHeight="true" outlineLevel="0" collapsed="false"/>
    <row r="3819" customFormat="false" ht="12.75" hidden="false" customHeight="true" outlineLevel="0" collapsed="false"/>
    <row r="3820" customFormat="false" ht="12.75" hidden="false" customHeight="true" outlineLevel="0" collapsed="false"/>
    <row r="3821" customFormat="false" ht="12.75" hidden="false" customHeight="true" outlineLevel="0" collapsed="false"/>
    <row r="3822" customFormat="false" ht="12.75" hidden="false" customHeight="true" outlineLevel="0" collapsed="false"/>
    <row r="3823" customFormat="false" ht="12.75" hidden="false" customHeight="true" outlineLevel="0" collapsed="false"/>
    <row r="3824" customFormat="false" ht="12.75" hidden="false" customHeight="true" outlineLevel="0" collapsed="false"/>
    <row r="3825" customFormat="false" ht="12.75" hidden="false" customHeight="true" outlineLevel="0" collapsed="false"/>
    <row r="3826" customFormat="false" ht="12.75" hidden="false" customHeight="true" outlineLevel="0" collapsed="false"/>
    <row r="3827" customFormat="false" ht="12.75" hidden="false" customHeight="true" outlineLevel="0" collapsed="false"/>
    <row r="3828" customFormat="false" ht="12.75" hidden="false" customHeight="true" outlineLevel="0" collapsed="false"/>
    <row r="3829" customFormat="false" ht="12.75" hidden="false" customHeight="true" outlineLevel="0" collapsed="false"/>
    <row r="3830" customFormat="false" ht="12.75" hidden="false" customHeight="true" outlineLevel="0" collapsed="false"/>
    <row r="3831" customFormat="false" ht="12.75" hidden="false" customHeight="true" outlineLevel="0" collapsed="false"/>
    <row r="3832" customFormat="false" ht="12.75" hidden="false" customHeight="true" outlineLevel="0" collapsed="false"/>
    <row r="3833" customFormat="false" ht="12.75" hidden="false" customHeight="true" outlineLevel="0" collapsed="false"/>
    <row r="3834" customFormat="false" ht="12.75" hidden="false" customHeight="true" outlineLevel="0" collapsed="false"/>
    <row r="3835" customFormat="false" ht="12.75" hidden="false" customHeight="true" outlineLevel="0" collapsed="false"/>
    <row r="3836" customFormat="false" ht="12.75" hidden="false" customHeight="true" outlineLevel="0" collapsed="false"/>
    <row r="3837" customFormat="false" ht="12.75" hidden="false" customHeight="true" outlineLevel="0" collapsed="false"/>
    <row r="3838" customFormat="false" ht="12.75" hidden="false" customHeight="true" outlineLevel="0" collapsed="false"/>
    <row r="3839" customFormat="false" ht="12.75" hidden="false" customHeight="true" outlineLevel="0" collapsed="false"/>
    <row r="3840" customFormat="false" ht="12.75" hidden="false" customHeight="true" outlineLevel="0" collapsed="false"/>
    <row r="3841" customFormat="false" ht="12.75" hidden="false" customHeight="true" outlineLevel="0" collapsed="false"/>
    <row r="3842" customFormat="false" ht="12.75" hidden="false" customHeight="true" outlineLevel="0" collapsed="false"/>
    <row r="3843" customFormat="false" ht="12.75" hidden="false" customHeight="true" outlineLevel="0" collapsed="false"/>
    <row r="3844" customFormat="false" ht="12.75" hidden="false" customHeight="true" outlineLevel="0" collapsed="false"/>
    <row r="3845" customFormat="false" ht="12.75" hidden="false" customHeight="true" outlineLevel="0" collapsed="false"/>
    <row r="3846" customFormat="false" ht="12.75" hidden="false" customHeight="true" outlineLevel="0" collapsed="false"/>
    <row r="3847" customFormat="false" ht="12.75" hidden="false" customHeight="true" outlineLevel="0" collapsed="false"/>
    <row r="3848" customFormat="false" ht="12.75" hidden="false" customHeight="true" outlineLevel="0" collapsed="false"/>
    <row r="3849" customFormat="false" ht="12.75" hidden="false" customHeight="true" outlineLevel="0" collapsed="false"/>
    <row r="3850" customFormat="false" ht="12.75" hidden="false" customHeight="true" outlineLevel="0" collapsed="false"/>
    <row r="3851" customFormat="false" ht="12.75" hidden="false" customHeight="true" outlineLevel="0" collapsed="false"/>
    <row r="3852" customFormat="false" ht="12.75" hidden="false" customHeight="true" outlineLevel="0" collapsed="false"/>
    <row r="3853" customFormat="false" ht="12.75" hidden="false" customHeight="true" outlineLevel="0" collapsed="false"/>
    <row r="3854" customFormat="false" ht="12.75" hidden="false" customHeight="true" outlineLevel="0" collapsed="false"/>
    <row r="3855" customFormat="false" ht="12.75" hidden="false" customHeight="true" outlineLevel="0" collapsed="false"/>
    <row r="3856" customFormat="false" ht="12.75" hidden="false" customHeight="true" outlineLevel="0" collapsed="false"/>
    <row r="3857" customFormat="false" ht="12.75" hidden="false" customHeight="true" outlineLevel="0" collapsed="false"/>
    <row r="3858" customFormat="false" ht="12.75" hidden="false" customHeight="true" outlineLevel="0" collapsed="false"/>
    <row r="3859" customFormat="false" ht="12.75" hidden="false" customHeight="true" outlineLevel="0" collapsed="false"/>
    <row r="3860" customFormat="false" ht="12.75" hidden="false" customHeight="true" outlineLevel="0" collapsed="false"/>
    <row r="3861" customFormat="false" ht="12.75" hidden="false" customHeight="true" outlineLevel="0" collapsed="false"/>
    <row r="3862" customFormat="false" ht="12.75" hidden="false" customHeight="true" outlineLevel="0" collapsed="false"/>
    <row r="3863" customFormat="false" ht="12.75" hidden="false" customHeight="true" outlineLevel="0" collapsed="false"/>
    <row r="3864" customFormat="false" ht="12.75" hidden="false" customHeight="true" outlineLevel="0" collapsed="false"/>
    <row r="3865" customFormat="false" ht="12.75" hidden="false" customHeight="true" outlineLevel="0" collapsed="false"/>
    <row r="3866" customFormat="false" ht="12.75" hidden="false" customHeight="true" outlineLevel="0" collapsed="false"/>
    <row r="3867" customFormat="false" ht="12.75" hidden="false" customHeight="true" outlineLevel="0" collapsed="false"/>
    <row r="3868" customFormat="false" ht="12.75" hidden="false" customHeight="true" outlineLevel="0" collapsed="false"/>
    <row r="3869" customFormat="false" ht="12.75" hidden="false" customHeight="true" outlineLevel="0" collapsed="false"/>
    <row r="3870" customFormat="false" ht="12.75" hidden="false" customHeight="true" outlineLevel="0" collapsed="false"/>
    <row r="3871" customFormat="false" ht="12.75" hidden="false" customHeight="true" outlineLevel="0" collapsed="false"/>
    <row r="3872" customFormat="false" ht="12.75" hidden="false" customHeight="true" outlineLevel="0" collapsed="false"/>
    <row r="3873" customFormat="false" ht="12.75" hidden="false" customHeight="true" outlineLevel="0" collapsed="false"/>
    <row r="3874" customFormat="false" ht="12.75" hidden="false" customHeight="true" outlineLevel="0" collapsed="false"/>
    <row r="3875" customFormat="false" ht="12.75" hidden="false" customHeight="true" outlineLevel="0" collapsed="false"/>
    <row r="3876" customFormat="false" ht="12.75" hidden="false" customHeight="true" outlineLevel="0" collapsed="false"/>
    <row r="3877" customFormat="false" ht="12.75" hidden="false" customHeight="true" outlineLevel="0" collapsed="false"/>
    <row r="3878" customFormat="false" ht="12.75" hidden="false" customHeight="true" outlineLevel="0" collapsed="false"/>
    <row r="3879" customFormat="false" ht="12.75" hidden="false" customHeight="true" outlineLevel="0" collapsed="false"/>
    <row r="3880" customFormat="false" ht="12.75" hidden="false" customHeight="true" outlineLevel="0" collapsed="false"/>
    <row r="3881" customFormat="false" ht="12.75" hidden="false" customHeight="true" outlineLevel="0" collapsed="false"/>
    <row r="3882" customFormat="false" ht="12.75" hidden="false" customHeight="true" outlineLevel="0" collapsed="false"/>
    <row r="3883" customFormat="false" ht="12.75" hidden="false" customHeight="true" outlineLevel="0" collapsed="false"/>
    <row r="3884" customFormat="false" ht="12.75" hidden="false" customHeight="true" outlineLevel="0" collapsed="false"/>
    <row r="3885" customFormat="false" ht="12.75" hidden="false" customHeight="true" outlineLevel="0" collapsed="false"/>
    <row r="3886" customFormat="false" ht="12.75" hidden="false" customHeight="true" outlineLevel="0" collapsed="false"/>
    <row r="3887" customFormat="false" ht="12.75" hidden="false" customHeight="true" outlineLevel="0" collapsed="false"/>
    <row r="3888" customFormat="false" ht="12.75" hidden="false" customHeight="true" outlineLevel="0" collapsed="false"/>
    <row r="3889" customFormat="false" ht="12.75" hidden="false" customHeight="true" outlineLevel="0" collapsed="false"/>
    <row r="3890" customFormat="false" ht="12.75" hidden="false" customHeight="true" outlineLevel="0" collapsed="false"/>
    <row r="3891" customFormat="false" ht="12.75" hidden="false" customHeight="true" outlineLevel="0" collapsed="false"/>
    <row r="3892" customFormat="false" ht="12.75" hidden="false" customHeight="true" outlineLevel="0" collapsed="false"/>
    <row r="3893" customFormat="false" ht="12.75" hidden="false" customHeight="true" outlineLevel="0" collapsed="false"/>
    <row r="3894" customFormat="false" ht="12.75" hidden="false" customHeight="true" outlineLevel="0" collapsed="false"/>
    <row r="3895" customFormat="false" ht="12.75" hidden="false" customHeight="true" outlineLevel="0" collapsed="false"/>
    <row r="3896" customFormat="false" ht="12.75" hidden="false" customHeight="true" outlineLevel="0" collapsed="false"/>
    <row r="3897" customFormat="false" ht="12.75" hidden="false" customHeight="true" outlineLevel="0" collapsed="false"/>
    <row r="3898" customFormat="false" ht="12.75" hidden="false" customHeight="true" outlineLevel="0" collapsed="false"/>
    <row r="3899" customFormat="false" ht="12.75" hidden="false" customHeight="true" outlineLevel="0" collapsed="false"/>
    <row r="3900" customFormat="false" ht="12.75" hidden="false" customHeight="true" outlineLevel="0" collapsed="false"/>
    <row r="3901" customFormat="false" ht="12.75" hidden="false" customHeight="true" outlineLevel="0" collapsed="false"/>
    <row r="3902" customFormat="false" ht="12.75" hidden="false" customHeight="true" outlineLevel="0" collapsed="false"/>
    <row r="3903" customFormat="false" ht="12.75" hidden="false" customHeight="true" outlineLevel="0" collapsed="false"/>
    <row r="3904" customFormat="false" ht="12.75" hidden="false" customHeight="true" outlineLevel="0" collapsed="false"/>
    <row r="3905" customFormat="false" ht="12.75" hidden="false" customHeight="true" outlineLevel="0" collapsed="false"/>
    <row r="3906" customFormat="false" ht="12.75" hidden="false" customHeight="true" outlineLevel="0" collapsed="false"/>
    <row r="3907" customFormat="false" ht="12.75" hidden="false" customHeight="true" outlineLevel="0" collapsed="false"/>
    <row r="3908" customFormat="false" ht="12.75" hidden="false" customHeight="true" outlineLevel="0" collapsed="false"/>
    <row r="3909" customFormat="false" ht="12.75" hidden="false" customHeight="true" outlineLevel="0" collapsed="false"/>
    <row r="3910" customFormat="false" ht="12.75" hidden="false" customHeight="true" outlineLevel="0" collapsed="false"/>
    <row r="3911" customFormat="false" ht="12.75" hidden="false" customHeight="true" outlineLevel="0" collapsed="false"/>
    <row r="3912" customFormat="false" ht="12.75" hidden="false" customHeight="true" outlineLevel="0" collapsed="false"/>
    <row r="3913" customFormat="false" ht="12.75" hidden="false" customHeight="true" outlineLevel="0" collapsed="false"/>
    <row r="3914" customFormat="false" ht="12.75" hidden="false" customHeight="true" outlineLevel="0" collapsed="false"/>
    <row r="3915" customFormat="false" ht="12.75" hidden="false" customHeight="true" outlineLevel="0" collapsed="false"/>
    <row r="3916" customFormat="false" ht="12.75" hidden="false" customHeight="true" outlineLevel="0" collapsed="false"/>
    <row r="3917" customFormat="false" ht="12.75" hidden="false" customHeight="true" outlineLevel="0" collapsed="false"/>
    <row r="3918" customFormat="false" ht="12.75" hidden="false" customHeight="true" outlineLevel="0" collapsed="false"/>
    <row r="3919" customFormat="false" ht="12.75" hidden="false" customHeight="true" outlineLevel="0" collapsed="false"/>
    <row r="3920" customFormat="false" ht="12.75" hidden="false" customHeight="true" outlineLevel="0" collapsed="false"/>
    <row r="3921" customFormat="false" ht="12.75" hidden="false" customHeight="true" outlineLevel="0" collapsed="false"/>
    <row r="3922" customFormat="false" ht="12.75" hidden="false" customHeight="true" outlineLevel="0" collapsed="false"/>
    <row r="3923" customFormat="false" ht="12.75" hidden="false" customHeight="true" outlineLevel="0" collapsed="false"/>
    <row r="3924" customFormat="false" ht="12.75" hidden="false" customHeight="true" outlineLevel="0" collapsed="false"/>
    <row r="3925" customFormat="false" ht="12.75" hidden="false" customHeight="true" outlineLevel="0" collapsed="false"/>
    <row r="3926" customFormat="false" ht="12.75" hidden="false" customHeight="true" outlineLevel="0" collapsed="false"/>
    <row r="3927" customFormat="false" ht="12.75" hidden="false" customHeight="true" outlineLevel="0" collapsed="false"/>
    <row r="3928" customFormat="false" ht="12.75" hidden="false" customHeight="true" outlineLevel="0" collapsed="false"/>
    <row r="3929" customFormat="false" ht="12.75" hidden="false" customHeight="true" outlineLevel="0" collapsed="false"/>
    <row r="3930" customFormat="false" ht="12.75" hidden="false" customHeight="true" outlineLevel="0" collapsed="false"/>
    <row r="3931" customFormat="false" ht="12.75" hidden="false" customHeight="true" outlineLevel="0" collapsed="false"/>
    <row r="3932" customFormat="false" ht="12.75" hidden="false" customHeight="true" outlineLevel="0" collapsed="false"/>
    <row r="3933" customFormat="false" ht="12.75" hidden="false" customHeight="true" outlineLevel="0" collapsed="false"/>
    <row r="3934" customFormat="false" ht="12.75" hidden="false" customHeight="true" outlineLevel="0" collapsed="false"/>
    <row r="3935" customFormat="false" ht="12.75" hidden="false" customHeight="true" outlineLevel="0" collapsed="false"/>
    <row r="3936" customFormat="false" ht="12.75" hidden="false" customHeight="true" outlineLevel="0" collapsed="false"/>
    <row r="3937" customFormat="false" ht="12.75" hidden="false" customHeight="true" outlineLevel="0" collapsed="false"/>
    <row r="3938" customFormat="false" ht="12.75" hidden="false" customHeight="true" outlineLevel="0" collapsed="false"/>
    <row r="3939" customFormat="false" ht="12.75" hidden="false" customHeight="true" outlineLevel="0" collapsed="false"/>
    <row r="3940" customFormat="false" ht="12.75" hidden="false" customHeight="true" outlineLevel="0" collapsed="false"/>
    <row r="3941" customFormat="false" ht="12.75" hidden="false" customHeight="true" outlineLevel="0" collapsed="false"/>
    <row r="3942" customFormat="false" ht="12.75" hidden="false" customHeight="true" outlineLevel="0" collapsed="false"/>
    <row r="3943" customFormat="false" ht="12.75" hidden="false" customHeight="true" outlineLevel="0" collapsed="false"/>
    <row r="3944" customFormat="false" ht="12.75" hidden="false" customHeight="true" outlineLevel="0" collapsed="false"/>
    <row r="3945" customFormat="false" ht="12.75" hidden="false" customHeight="true" outlineLevel="0" collapsed="false"/>
    <row r="3946" customFormat="false" ht="12.75" hidden="false" customHeight="true" outlineLevel="0" collapsed="false"/>
    <row r="3947" customFormat="false" ht="12.75" hidden="false" customHeight="true" outlineLevel="0" collapsed="false"/>
    <row r="3948" customFormat="false" ht="12.75" hidden="false" customHeight="true" outlineLevel="0" collapsed="false"/>
    <row r="3949" customFormat="false" ht="12.75" hidden="false" customHeight="true" outlineLevel="0" collapsed="false"/>
    <row r="3950" customFormat="false" ht="12.75" hidden="false" customHeight="true" outlineLevel="0" collapsed="false"/>
    <row r="3951" customFormat="false" ht="12.75" hidden="false" customHeight="true" outlineLevel="0" collapsed="false"/>
    <row r="3952" customFormat="false" ht="12.75" hidden="false" customHeight="true" outlineLevel="0" collapsed="false"/>
    <row r="3953" customFormat="false" ht="12.75" hidden="false" customHeight="true" outlineLevel="0" collapsed="false"/>
    <row r="3954" customFormat="false" ht="12.75" hidden="false" customHeight="true" outlineLevel="0" collapsed="false"/>
    <row r="3955" customFormat="false" ht="12.75" hidden="false" customHeight="true" outlineLevel="0" collapsed="false"/>
    <row r="3956" customFormat="false" ht="12.75" hidden="false" customHeight="true" outlineLevel="0" collapsed="false"/>
    <row r="3957" customFormat="false" ht="12.75" hidden="false" customHeight="true" outlineLevel="0" collapsed="false"/>
    <row r="3958" customFormat="false" ht="12.75" hidden="false" customHeight="true" outlineLevel="0" collapsed="false"/>
    <row r="3959" customFormat="false" ht="12.75" hidden="false" customHeight="true" outlineLevel="0" collapsed="false"/>
    <row r="3960" customFormat="false" ht="12.75" hidden="false" customHeight="true" outlineLevel="0" collapsed="false"/>
    <row r="3961" customFormat="false" ht="12.75" hidden="false" customHeight="true" outlineLevel="0" collapsed="false"/>
    <row r="3962" customFormat="false" ht="12.75" hidden="false" customHeight="true" outlineLevel="0" collapsed="false"/>
    <row r="3963" customFormat="false" ht="12.75" hidden="false" customHeight="true" outlineLevel="0" collapsed="false"/>
    <row r="3964" customFormat="false" ht="12.75" hidden="false" customHeight="true" outlineLevel="0" collapsed="false"/>
    <row r="3965" customFormat="false" ht="12.75" hidden="false" customHeight="true" outlineLevel="0" collapsed="false"/>
    <row r="3966" customFormat="false" ht="12.75" hidden="false" customHeight="true" outlineLevel="0" collapsed="false"/>
    <row r="3967" customFormat="false" ht="12.75" hidden="false" customHeight="true" outlineLevel="0" collapsed="false"/>
    <row r="3968" customFormat="false" ht="12.75" hidden="false" customHeight="true" outlineLevel="0" collapsed="false"/>
    <row r="3969" customFormat="false" ht="12.75" hidden="false" customHeight="true" outlineLevel="0" collapsed="false"/>
    <row r="3970" customFormat="false" ht="12.75" hidden="false" customHeight="true" outlineLevel="0" collapsed="false"/>
    <row r="3971" customFormat="false" ht="12.75" hidden="false" customHeight="true" outlineLevel="0" collapsed="false"/>
    <row r="3972" customFormat="false" ht="12.75" hidden="false" customHeight="true" outlineLevel="0" collapsed="false"/>
    <row r="3973" customFormat="false" ht="12.75" hidden="false" customHeight="true" outlineLevel="0" collapsed="false"/>
    <row r="3974" customFormat="false" ht="12.75" hidden="false" customHeight="true" outlineLevel="0" collapsed="false"/>
    <row r="3975" customFormat="false" ht="12.75" hidden="false" customHeight="true" outlineLevel="0" collapsed="false"/>
    <row r="3976" customFormat="false" ht="12.75" hidden="false" customHeight="true" outlineLevel="0" collapsed="false"/>
    <row r="3977" customFormat="false" ht="12.75" hidden="false" customHeight="true" outlineLevel="0" collapsed="false"/>
    <row r="3978" customFormat="false" ht="12.75" hidden="false" customHeight="true" outlineLevel="0" collapsed="false"/>
    <row r="3979" customFormat="false" ht="12.75" hidden="false" customHeight="true" outlineLevel="0" collapsed="false"/>
    <row r="3980" customFormat="false" ht="12.75" hidden="false" customHeight="true" outlineLevel="0" collapsed="false"/>
    <row r="3981" customFormat="false" ht="12.75" hidden="false" customHeight="true" outlineLevel="0" collapsed="false"/>
    <row r="3982" customFormat="false" ht="12.75" hidden="false" customHeight="true" outlineLevel="0" collapsed="false"/>
    <row r="3983" customFormat="false" ht="12.75" hidden="false" customHeight="true" outlineLevel="0" collapsed="false"/>
    <row r="3984" customFormat="false" ht="12.75" hidden="false" customHeight="true" outlineLevel="0" collapsed="false"/>
    <row r="3985" customFormat="false" ht="12.75" hidden="false" customHeight="true" outlineLevel="0" collapsed="false"/>
    <row r="3986" customFormat="false" ht="12.75" hidden="false" customHeight="true" outlineLevel="0" collapsed="false"/>
    <row r="3987" customFormat="false" ht="12.75" hidden="false" customHeight="true" outlineLevel="0" collapsed="false"/>
    <row r="3988" customFormat="false" ht="12.75" hidden="false" customHeight="true" outlineLevel="0" collapsed="false"/>
    <row r="3989" customFormat="false" ht="12.75" hidden="false" customHeight="true" outlineLevel="0" collapsed="false"/>
    <row r="3990" customFormat="false" ht="12.75" hidden="false" customHeight="true" outlineLevel="0" collapsed="false"/>
    <row r="3991" customFormat="false" ht="12.75" hidden="false" customHeight="true" outlineLevel="0" collapsed="false"/>
    <row r="3992" customFormat="false" ht="12.75" hidden="false" customHeight="true" outlineLevel="0" collapsed="false"/>
    <row r="3993" customFormat="false" ht="12.75" hidden="false" customHeight="true" outlineLevel="0" collapsed="false"/>
    <row r="3994" customFormat="false" ht="12.75" hidden="false" customHeight="true" outlineLevel="0" collapsed="false"/>
    <row r="3995" customFormat="false" ht="12.75" hidden="false" customHeight="true" outlineLevel="0" collapsed="false"/>
    <row r="3996" customFormat="false" ht="12.75" hidden="false" customHeight="true" outlineLevel="0" collapsed="false"/>
    <row r="3997" customFormat="false" ht="12.75" hidden="false" customHeight="true" outlineLevel="0" collapsed="false"/>
    <row r="3998" customFormat="false" ht="12.75" hidden="false" customHeight="true" outlineLevel="0" collapsed="false"/>
    <row r="3999" customFormat="false" ht="12.75" hidden="false" customHeight="true" outlineLevel="0" collapsed="false"/>
    <row r="4000" customFormat="false" ht="12.75" hidden="false" customHeight="true" outlineLevel="0" collapsed="false"/>
    <row r="4001" customFormat="false" ht="12.75" hidden="false" customHeight="true" outlineLevel="0" collapsed="false"/>
    <row r="4002" customFormat="false" ht="12.75" hidden="false" customHeight="true" outlineLevel="0" collapsed="false"/>
    <row r="4003" customFormat="false" ht="12.75" hidden="false" customHeight="true" outlineLevel="0" collapsed="false"/>
    <row r="4004" customFormat="false" ht="12.75" hidden="false" customHeight="true" outlineLevel="0" collapsed="false"/>
    <row r="4005" customFormat="false" ht="12.75" hidden="false" customHeight="true" outlineLevel="0" collapsed="false"/>
    <row r="4006" customFormat="false" ht="12.75" hidden="false" customHeight="true" outlineLevel="0" collapsed="false"/>
    <row r="4007" customFormat="false" ht="12.75" hidden="false" customHeight="true" outlineLevel="0" collapsed="false"/>
    <row r="4008" customFormat="false" ht="12.75" hidden="false" customHeight="true" outlineLevel="0" collapsed="false"/>
    <row r="4009" customFormat="false" ht="12.75" hidden="false" customHeight="true" outlineLevel="0" collapsed="false"/>
    <row r="4010" customFormat="false" ht="12.75" hidden="false" customHeight="true" outlineLevel="0" collapsed="false"/>
    <row r="4011" customFormat="false" ht="12.75" hidden="false" customHeight="true" outlineLevel="0" collapsed="false"/>
    <row r="4012" customFormat="false" ht="12.75" hidden="false" customHeight="true" outlineLevel="0" collapsed="false"/>
    <row r="4013" customFormat="false" ht="12.75" hidden="false" customHeight="true" outlineLevel="0" collapsed="false"/>
    <row r="4014" customFormat="false" ht="12.75" hidden="false" customHeight="true" outlineLevel="0" collapsed="false"/>
    <row r="4015" customFormat="false" ht="12.75" hidden="false" customHeight="true" outlineLevel="0" collapsed="false"/>
    <row r="4016" customFormat="false" ht="12.75" hidden="false" customHeight="true" outlineLevel="0" collapsed="false"/>
    <row r="4017" customFormat="false" ht="12.75" hidden="false" customHeight="true" outlineLevel="0" collapsed="false"/>
    <row r="4018" customFormat="false" ht="12.75" hidden="false" customHeight="true" outlineLevel="0" collapsed="false"/>
    <row r="4019" customFormat="false" ht="12.75" hidden="false" customHeight="true" outlineLevel="0" collapsed="false"/>
    <row r="4020" customFormat="false" ht="12.75" hidden="false" customHeight="true" outlineLevel="0" collapsed="false"/>
    <row r="4021" customFormat="false" ht="12.75" hidden="false" customHeight="true" outlineLevel="0" collapsed="false"/>
    <row r="4022" customFormat="false" ht="12.75" hidden="false" customHeight="true" outlineLevel="0" collapsed="false"/>
    <row r="4023" customFormat="false" ht="12.75" hidden="false" customHeight="true" outlineLevel="0" collapsed="false"/>
    <row r="4024" customFormat="false" ht="12.75" hidden="false" customHeight="true" outlineLevel="0" collapsed="false"/>
    <row r="4025" customFormat="false" ht="12.75" hidden="false" customHeight="true" outlineLevel="0" collapsed="false"/>
    <row r="4026" customFormat="false" ht="12.75" hidden="false" customHeight="true" outlineLevel="0" collapsed="false"/>
    <row r="4027" customFormat="false" ht="12.75" hidden="false" customHeight="true" outlineLevel="0" collapsed="false"/>
    <row r="4028" customFormat="false" ht="12.75" hidden="false" customHeight="true" outlineLevel="0" collapsed="false"/>
    <row r="4029" customFormat="false" ht="12.75" hidden="false" customHeight="true" outlineLevel="0" collapsed="false"/>
    <row r="4030" customFormat="false" ht="12.75" hidden="false" customHeight="true" outlineLevel="0" collapsed="false"/>
    <row r="4031" customFormat="false" ht="12.75" hidden="false" customHeight="true" outlineLevel="0" collapsed="false"/>
    <row r="4032" customFormat="false" ht="12.75" hidden="false" customHeight="true" outlineLevel="0" collapsed="false"/>
    <row r="4033" customFormat="false" ht="12.75" hidden="false" customHeight="true" outlineLevel="0" collapsed="false"/>
    <row r="4034" customFormat="false" ht="12.75" hidden="false" customHeight="true" outlineLevel="0" collapsed="false"/>
    <row r="4035" customFormat="false" ht="12.75" hidden="false" customHeight="true" outlineLevel="0" collapsed="false"/>
    <row r="4036" customFormat="false" ht="12.75" hidden="false" customHeight="true" outlineLevel="0" collapsed="false"/>
    <row r="4037" customFormat="false" ht="12.75" hidden="false" customHeight="true" outlineLevel="0" collapsed="false"/>
    <row r="4038" customFormat="false" ht="12.75" hidden="false" customHeight="true" outlineLevel="0" collapsed="false"/>
    <row r="4039" customFormat="false" ht="12.75" hidden="false" customHeight="true" outlineLevel="0" collapsed="false"/>
    <row r="4040" customFormat="false" ht="12.75" hidden="false" customHeight="true" outlineLevel="0" collapsed="false"/>
    <row r="4041" customFormat="false" ht="12.75" hidden="false" customHeight="true" outlineLevel="0" collapsed="false"/>
    <row r="4042" customFormat="false" ht="12.75" hidden="false" customHeight="true" outlineLevel="0" collapsed="false"/>
    <row r="4043" customFormat="false" ht="12.75" hidden="false" customHeight="true" outlineLevel="0" collapsed="false"/>
    <row r="4044" customFormat="false" ht="12.75" hidden="false" customHeight="true" outlineLevel="0" collapsed="false"/>
    <row r="4045" customFormat="false" ht="12.75" hidden="false" customHeight="true" outlineLevel="0" collapsed="false"/>
    <row r="4046" customFormat="false" ht="12.75" hidden="false" customHeight="true" outlineLevel="0" collapsed="false"/>
    <row r="4047" customFormat="false" ht="12.75" hidden="false" customHeight="true" outlineLevel="0" collapsed="false"/>
    <row r="4048" customFormat="false" ht="12.75" hidden="false" customHeight="true" outlineLevel="0" collapsed="false"/>
    <row r="4049" customFormat="false" ht="12.75" hidden="false" customHeight="true" outlineLevel="0" collapsed="false"/>
    <row r="4050" customFormat="false" ht="12.75" hidden="false" customHeight="true" outlineLevel="0" collapsed="false"/>
    <row r="4051" customFormat="false" ht="12.75" hidden="false" customHeight="true" outlineLevel="0" collapsed="false"/>
    <row r="4052" customFormat="false" ht="12.75" hidden="false" customHeight="true" outlineLevel="0" collapsed="false"/>
    <row r="4053" customFormat="false" ht="12.75" hidden="false" customHeight="true" outlineLevel="0" collapsed="false"/>
    <row r="4054" customFormat="false" ht="12.75" hidden="false" customHeight="true" outlineLevel="0" collapsed="false"/>
    <row r="4055" customFormat="false" ht="12.75" hidden="false" customHeight="true" outlineLevel="0" collapsed="false"/>
    <row r="4056" customFormat="false" ht="12.75" hidden="false" customHeight="true" outlineLevel="0" collapsed="false"/>
    <row r="4057" customFormat="false" ht="12.75" hidden="false" customHeight="true" outlineLevel="0" collapsed="false"/>
    <row r="4058" customFormat="false" ht="12.75" hidden="false" customHeight="true" outlineLevel="0" collapsed="false"/>
    <row r="4059" customFormat="false" ht="12.75" hidden="false" customHeight="true" outlineLevel="0" collapsed="false"/>
    <row r="4060" customFormat="false" ht="12.75" hidden="false" customHeight="true" outlineLevel="0" collapsed="false"/>
    <row r="4061" customFormat="false" ht="12.75" hidden="false" customHeight="true" outlineLevel="0" collapsed="false"/>
    <row r="4062" customFormat="false" ht="12.75" hidden="false" customHeight="true" outlineLevel="0" collapsed="false"/>
    <row r="4063" customFormat="false" ht="12.75" hidden="false" customHeight="true" outlineLevel="0" collapsed="false"/>
    <row r="4064" customFormat="false" ht="12.75" hidden="false" customHeight="true" outlineLevel="0" collapsed="false"/>
    <row r="4065" customFormat="false" ht="12.75" hidden="false" customHeight="true" outlineLevel="0" collapsed="false"/>
    <row r="4066" customFormat="false" ht="12.75" hidden="false" customHeight="true" outlineLevel="0" collapsed="false"/>
    <row r="4067" customFormat="false" ht="12.75" hidden="false" customHeight="true" outlineLevel="0" collapsed="false"/>
    <row r="4068" customFormat="false" ht="12.75" hidden="false" customHeight="true" outlineLevel="0" collapsed="false"/>
    <row r="4069" customFormat="false" ht="12.75" hidden="false" customHeight="true" outlineLevel="0" collapsed="false"/>
    <row r="4070" customFormat="false" ht="12.75" hidden="false" customHeight="true" outlineLevel="0" collapsed="false"/>
    <row r="4071" customFormat="false" ht="12.75" hidden="false" customHeight="true" outlineLevel="0" collapsed="false"/>
    <row r="4072" customFormat="false" ht="12.75" hidden="false" customHeight="true" outlineLevel="0" collapsed="false"/>
    <row r="4073" customFormat="false" ht="12.75" hidden="false" customHeight="true" outlineLevel="0" collapsed="false"/>
    <row r="4074" customFormat="false" ht="12.75" hidden="false" customHeight="true" outlineLevel="0" collapsed="false"/>
    <row r="4075" customFormat="false" ht="12.75" hidden="false" customHeight="true" outlineLevel="0" collapsed="false"/>
    <row r="4076" customFormat="false" ht="12.75" hidden="false" customHeight="true" outlineLevel="0" collapsed="false"/>
    <row r="4077" customFormat="false" ht="12.75" hidden="false" customHeight="true" outlineLevel="0" collapsed="false"/>
    <row r="4078" customFormat="false" ht="12.75" hidden="false" customHeight="true" outlineLevel="0" collapsed="false"/>
    <row r="4079" customFormat="false" ht="12.75" hidden="false" customHeight="true" outlineLevel="0" collapsed="false"/>
    <row r="4080" customFormat="false" ht="12.75" hidden="false" customHeight="true" outlineLevel="0" collapsed="false"/>
    <row r="4081" customFormat="false" ht="12.75" hidden="false" customHeight="true" outlineLevel="0" collapsed="false"/>
    <row r="4082" customFormat="false" ht="12.75" hidden="false" customHeight="true" outlineLevel="0" collapsed="false"/>
    <row r="4083" customFormat="false" ht="12.75" hidden="false" customHeight="true" outlineLevel="0" collapsed="false"/>
    <row r="4084" customFormat="false" ht="12.75" hidden="false" customHeight="true" outlineLevel="0" collapsed="false"/>
    <row r="4085" customFormat="false" ht="12.75" hidden="false" customHeight="true" outlineLevel="0" collapsed="false"/>
    <row r="4086" customFormat="false" ht="12.75" hidden="false" customHeight="true" outlineLevel="0" collapsed="false"/>
    <row r="4087" customFormat="false" ht="12.75" hidden="false" customHeight="true" outlineLevel="0" collapsed="false"/>
    <row r="4088" customFormat="false" ht="12.75" hidden="false" customHeight="true" outlineLevel="0" collapsed="false"/>
    <row r="4089" customFormat="false" ht="12.75" hidden="false" customHeight="true" outlineLevel="0" collapsed="false"/>
    <row r="4090" customFormat="false" ht="12.75" hidden="false" customHeight="true" outlineLevel="0" collapsed="false"/>
    <row r="4091" customFormat="false" ht="12.75" hidden="false" customHeight="true" outlineLevel="0" collapsed="false"/>
    <row r="4092" customFormat="false" ht="12.75" hidden="false" customHeight="true" outlineLevel="0" collapsed="false"/>
    <row r="4093" customFormat="false" ht="12.75" hidden="false" customHeight="true" outlineLevel="0" collapsed="false"/>
    <row r="4094" customFormat="false" ht="12.75" hidden="false" customHeight="true" outlineLevel="0" collapsed="false"/>
    <row r="4095" customFormat="false" ht="12.75" hidden="false" customHeight="true" outlineLevel="0" collapsed="false"/>
    <row r="4096" customFormat="false" ht="12.75" hidden="false" customHeight="true" outlineLevel="0" collapsed="false"/>
    <row r="4097" customFormat="false" ht="12.75" hidden="false" customHeight="true" outlineLevel="0" collapsed="false"/>
    <row r="4098" customFormat="false" ht="12.75" hidden="false" customHeight="true" outlineLevel="0" collapsed="false"/>
    <row r="4099" customFormat="false" ht="12.75" hidden="false" customHeight="true" outlineLevel="0" collapsed="false"/>
    <row r="4100" customFormat="false" ht="12.75" hidden="false" customHeight="true" outlineLevel="0" collapsed="false"/>
    <row r="4101" customFormat="false" ht="12.75" hidden="false" customHeight="true" outlineLevel="0" collapsed="false"/>
    <row r="4102" customFormat="false" ht="12.75" hidden="false" customHeight="true" outlineLevel="0" collapsed="false"/>
    <row r="4103" customFormat="false" ht="12.75" hidden="false" customHeight="true" outlineLevel="0" collapsed="false"/>
    <row r="4104" customFormat="false" ht="12.75" hidden="false" customHeight="true" outlineLevel="0" collapsed="false"/>
    <row r="4105" customFormat="false" ht="12.75" hidden="false" customHeight="true" outlineLevel="0" collapsed="false"/>
    <row r="4106" customFormat="false" ht="12.75" hidden="false" customHeight="true" outlineLevel="0" collapsed="false"/>
    <row r="4107" customFormat="false" ht="12.75" hidden="false" customHeight="true" outlineLevel="0" collapsed="false"/>
    <row r="4108" customFormat="false" ht="12.75" hidden="false" customHeight="true" outlineLevel="0" collapsed="false"/>
    <row r="4109" customFormat="false" ht="12.75" hidden="false" customHeight="true" outlineLevel="0" collapsed="false"/>
    <row r="4110" customFormat="false" ht="12.75" hidden="false" customHeight="true" outlineLevel="0" collapsed="false"/>
    <row r="4111" customFormat="false" ht="12.75" hidden="false" customHeight="true" outlineLevel="0" collapsed="false"/>
    <row r="4112" customFormat="false" ht="12.75" hidden="false" customHeight="true" outlineLevel="0" collapsed="false"/>
    <row r="4113" customFormat="false" ht="12.75" hidden="false" customHeight="true" outlineLevel="0" collapsed="false"/>
    <row r="4114" customFormat="false" ht="12.75" hidden="false" customHeight="true" outlineLevel="0" collapsed="false"/>
    <row r="4115" customFormat="false" ht="12.75" hidden="false" customHeight="true" outlineLevel="0" collapsed="false"/>
    <row r="4116" customFormat="false" ht="12.75" hidden="false" customHeight="true" outlineLevel="0" collapsed="false"/>
    <row r="4117" customFormat="false" ht="12.75" hidden="false" customHeight="true" outlineLevel="0" collapsed="false"/>
    <row r="4118" customFormat="false" ht="12.75" hidden="false" customHeight="true" outlineLevel="0" collapsed="false"/>
    <row r="4119" customFormat="false" ht="12.75" hidden="false" customHeight="true" outlineLevel="0" collapsed="false"/>
    <row r="4120" customFormat="false" ht="12.75" hidden="false" customHeight="true" outlineLevel="0" collapsed="false"/>
    <row r="4121" customFormat="false" ht="12.75" hidden="false" customHeight="true" outlineLevel="0" collapsed="false"/>
    <row r="4122" customFormat="false" ht="12.75" hidden="false" customHeight="true" outlineLevel="0" collapsed="false"/>
    <row r="4123" customFormat="false" ht="12.75" hidden="false" customHeight="true" outlineLevel="0" collapsed="false"/>
    <row r="4124" customFormat="false" ht="12.75" hidden="false" customHeight="true" outlineLevel="0" collapsed="false"/>
    <row r="4125" customFormat="false" ht="12.75" hidden="false" customHeight="true" outlineLevel="0" collapsed="false"/>
    <row r="4126" customFormat="false" ht="12.75" hidden="false" customHeight="true" outlineLevel="0" collapsed="false"/>
    <row r="4127" customFormat="false" ht="12.75" hidden="false" customHeight="true" outlineLevel="0" collapsed="false"/>
    <row r="4128" customFormat="false" ht="12.75" hidden="false" customHeight="true" outlineLevel="0" collapsed="false"/>
    <row r="4129" customFormat="false" ht="12.75" hidden="false" customHeight="true" outlineLevel="0" collapsed="false"/>
    <row r="4130" customFormat="false" ht="12.75" hidden="false" customHeight="true" outlineLevel="0" collapsed="false"/>
    <row r="4131" customFormat="false" ht="12.75" hidden="false" customHeight="true" outlineLevel="0" collapsed="false"/>
    <row r="4132" customFormat="false" ht="12.75" hidden="false" customHeight="true" outlineLevel="0" collapsed="false"/>
    <row r="4133" customFormat="false" ht="12.75" hidden="false" customHeight="true" outlineLevel="0" collapsed="false"/>
    <row r="4134" customFormat="false" ht="12.75" hidden="false" customHeight="true" outlineLevel="0" collapsed="false"/>
    <row r="4135" customFormat="false" ht="12.75" hidden="false" customHeight="true" outlineLevel="0" collapsed="false"/>
    <row r="4136" customFormat="false" ht="12.75" hidden="false" customHeight="true" outlineLevel="0" collapsed="false"/>
    <row r="4137" customFormat="false" ht="12.75" hidden="false" customHeight="true" outlineLevel="0" collapsed="false"/>
    <row r="4138" customFormat="false" ht="12.75" hidden="false" customHeight="true" outlineLevel="0" collapsed="false"/>
    <row r="4139" customFormat="false" ht="12.75" hidden="false" customHeight="true" outlineLevel="0" collapsed="false"/>
    <row r="4140" customFormat="false" ht="12.75" hidden="false" customHeight="true" outlineLevel="0" collapsed="false"/>
    <row r="4141" customFormat="false" ht="12.75" hidden="false" customHeight="true" outlineLevel="0" collapsed="false"/>
    <row r="4142" customFormat="false" ht="12.75" hidden="false" customHeight="true" outlineLevel="0" collapsed="false"/>
    <row r="4143" customFormat="false" ht="12.75" hidden="false" customHeight="true" outlineLevel="0" collapsed="false"/>
    <row r="4144" customFormat="false" ht="12.75" hidden="false" customHeight="true" outlineLevel="0" collapsed="false"/>
    <row r="4145" customFormat="false" ht="12.75" hidden="false" customHeight="true" outlineLevel="0" collapsed="false"/>
    <row r="4146" customFormat="false" ht="12.75" hidden="false" customHeight="true" outlineLevel="0" collapsed="false"/>
    <row r="4147" customFormat="false" ht="12.75" hidden="false" customHeight="true" outlineLevel="0" collapsed="false"/>
    <row r="4148" customFormat="false" ht="12.75" hidden="false" customHeight="true" outlineLevel="0" collapsed="false"/>
    <row r="4149" customFormat="false" ht="12.75" hidden="false" customHeight="true" outlineLevel="0" collapsed="false"/>
    <row r="4150" customFormat="false" ht="12.75" hidden="false" customHeight="true" outlineLevel="0" collapsed="false"/>
    <row r="4151" customFormat="false" ht="12.75" hidden="false" customHeight="true" outlineLevel="0" collapsed="false"/>
    <row r="4152" customFormat="false" ht="12.75" hidden="false" customHeight="true" outlineLevel="0" collapsed="false"/>
    <row r="4153" customFormat="false" ht="12.75" hidden="false" customHeight="true" outlineLevel="0" collapsed="false"/>
    <row r="4154" customFormat="false" ht="12.75" hidden="false" customHeight="true" outlineLevel="0" collapsed="false"/>
    <row r="4155" customFormat="false" ht="12.75" hidden="false" customHeight="true" outlineLevel="0" collapsed="false"/>
    <row r="4156" customFormat="false" ht="12.75" hidden="false" customHeight="true" outlineLevel="0" collapsed="false"/>
    <row r="4157" customFormat="false" ht="12.75" hidden="false" customHeight="true" outlineLevel="0" collapsed="false"/>
    <row r="4158" customFormat="false" ht="12.75" hidden="false" customHeight="true" outlineLevel="0" collapsed="false"/>
    <row r="4159" customFormat="false" ht="12.75" hidden="false" customHeight="true" outlineLevel="0" collapsed="false"/>
    <row r="4160" customFormat="false" ht="12.75" hidden="false" customHeight="true" outlineLevel="0" collapsed="false"/>
    <row r="4161" customFormat="false" ht="12.75" hidden="false" customHeight="true" outlineLevel="0" collapsed="false"/>
    <row r="4162" customFormat="false" ht="12.75" hidden="false" customHeight="true" outlineLevel="0" collapsed="false"/>
    <row r="4163" customFormat="false" ht="12.75" hidden="false" customHeight="true" outlineLevel="0" collapsed="false"/>
    <row r="4164" customFormat="false" ht="12.75" hidden="false" customHeight="true" outlineLevel="0" collapsed="false"/>
    <row r="4165" customFormat="false" ht="12.75" hidden="false" customHeight="true" outlineLevel="0" collapsed="false"/>
    <row r="4166" customFormat="false" ht="12.75" hidden="false" customHeight="true" outlineLevel="0" collapsed="false"/>
    <row r="4167" customFormat="false" ht="12.75" hidden="false" customHeight="true" outlineLevel="0" collapsed="false"/>
    <row r="4168" customFormat="false" ht="12.75" hidden="false" customHeight="true" outlineLevel="0" collapsed="false"/>
    <row r="4169" customFormat="false" ht="12.75" hidden="false" customHeight="true" outlineLevel="0" collapsed="false"/>
    <row r="4170" customFormat="false" ht="12.75" hidden="false" customHeight="true" outlineLevel="0" collapsed="false"/>
    <row r="4171" customFormat="false" ht="12.75" hidden="false" customHeight="true" outlineLevel="0" collapsed="false"/>
    <row r="4172" customFormat="false" ht="12.75" hidden="false" customHeight="true" outlineLevel="0" collapsed="false"/>
    <row r="4173" customFormat="false" ht="12.75" hidden="false" customHeight="true" outlineLevel="0" collapsed="false"/>
    <row r="4174" customFormat="false" ht="12.75" hidden="false" customHeight="true" outlineLevel="0" collapsed="false"/>
    <row r="4175" customFormat="false" ht="12.75" hidden="false" customHeight="true" outlineLevel="0" collapsed="false"/>
    <row r="4176" customFormat="false" ht="12.75" hidden="false" customHeight="true" outlineLevel="0" collapsed="false"/>
    <row r="4177" customFormat="false" ht="12.75" hidden="false" customHeight="true" outlineLevel="0" collapsed="false"/>
    <row r="4178" customFormat="false" ht="12.75" hidden="false" customHeight="true" outlineLevel="0" collapsed="false"/>
    <row r="4179" customFormat="false" ht="12.75" hidden="false" customHeight="true" outlineLevel="0" collapsed="false"/>
    <row r="4180" customFormat="false" ht="12.75" hidden="false" customHeight="true" outlineLevel="0" collapsed="false"/>
    <row r="4181" customFormat="false" ht="12.75" hidden="false" customHeight="true" outlineLevel="0" collapsed="false"/>
    <row r="4182" customFormat="false" ht="12.75" hidden="false" customHeight="true" outlineLevel="0" collapsed="false"/>
    <row r="4183" customFormat="false" ht="12.75" hidden="false" customHeight="true" outlineLevel="0" collapsed="false"/>
    <row r="4184" customFormat="false" ht="12.75" hidden="false" customHeight="true" outlineLevel="0" collapsed="false"/>
    <row r="4185" customFormat="false" ht="12.75" hidden="false" customHeight="true" outlineLevel="0" collapsed="false"/>
    <row r="4186" customFormat="false" ht="12.75" hidden="false" customHeight="true" outlineLevel="0" collapsed="false"/>
    <row r="4187" customFormat="false" ht="12.75" hidden="false" customHeight="true" outlineLevel="0" collapsed="false"/>
    <row r="4188" customFormat="false" ht="12.75" hidden="false" customHeight="true" outlineLevel="0" collapsed="false"/>
    <row r="4189" customFormat="false" ht="12.75" hidden="false" customHeight="true" outlineLevel="0" collapsed="false"/>
    <row r="4190" customFormat="false" ht="12.75" hidden="false" customHeight="true" outlineLevel="0" collapsed="false"/>
    <row r="4191" customFormat="false" ht="12.75" hidden="false" customHeight="true" outlineLevel="0" collapsed="false"/>
    <row r="4192" customFormat="false" ht="12.75" hidden="false" customHeight="true" outlineLevel="0" collapsed="false"/>
    <row r="4193" customFormat="false" ht="12.75" hidden="false" customHeight="true" outlineLevel="0" collapsed="false"/>
    <row r="4194" customFormat="false" ht="12.75" hidden="false" customHeight="true" outlineLevel="0" collapsed="false"/>
    <row r="4195" customFormat="false" ht="12.75" hidden="false" customHeight="true" outlineLevel="0" collapsed="false"/>
    <row r="4196" customFormat="false" ht="12.75" hidden="false" customHeight="true" outlineLevel="0" collapsed="false"/>
    <row r="4197" customFormat="false" ht="12.75" hidden="false" customHeight="true" outlineLevel="0" collapsed="false"/>
    <row r="4198" customFormat="false" ht="12.75" hidden="false" customHeight="true" outlineLevel="0" collapsed="false"/>
    <row r="4199" customFormat="false" ht="12.75" hidden="false" customHeight="true" outlineLevel="0" collapsed="false"/>
    <row r="4200" customFormat="false" ht="12.75" hidden="false" customHeight="true" outlineLevel="0" collapsed="false"/>
    <row r="4201" customFormat="false" ht="12.75" hidden="false" customHeight="true" outlineLevel="0" collapsed="false"/>
    <row r="4202" customFormat="false" ht="12.75" hidden="false" customHeight="true" outlineLevel="0" collapsed="false"/>
    <row r="4203" customFormat="false" ht="12.75" hidden="false" customHeight="true" outlineLevel="0" collapsed="false"/>
    <row r="4204" customFormat="false" ht="12.75" hidden="false" customHeight="true" outlineLevel="0" collapsed="false"/>
    <row r="4205" customFormat="false" ht="12.75" hidden="false" customHeight="true" outlineLevel="0" collapsed="false"/>
    <row r="4206" customFormat="false" ht="12.75" hidden="false" customHeight="true" outlineLevel="0" collapsed="false"/>
    <row r="4207" customFormat="false" ht="12.75" hidden="false" customHeight="true" outlineLevel="0" collapsed="false"/>
    <row r="4208" customFormat="false" ht="12.75" hidden="false" customHeight="true" outlineLevel="0" collapsed="false"/>
    <row r="4209" customFormat="false" ht="12.75" hidden="false" customHeight="true" outlineLevel="0" collapsed="false"/>
    <row r="4210" customFormat="false" ht="12.75" hidden="false" customHeight="true" outlineLevel="0" collapsed="false"/>
    <row r="4211" customFormat="false" ht="12.75" hidden="false" customHeight="true" outlineLevel="0" collapsed="false"/>
    <row r="4212" customFormat="false" ht="12.75" hidden="false" customHeight="true" outlineLevel="0" collapsed="false"/>
    <row r="4213" customFormat="false" ht="12.75" hidden="false" customHeight="true" outlineLevel="0" collapsed="false"/>
    <row r="4214" customFormat="false" ht="12.75" hidden="false" customHeight="true" outlineLevel="0" collapsed="false"/>
    <row r="4215" customFormat="false" ht="12.75" hidden="false" customHeight="true" outlineLevel="0" collapsed="false"/>
    <row r="4216" customFormat="false" ht="12.75" hidden="false" customHeight="true" outlineLevel="0" collapsed="false"/>
    <row r="4217" customFormat="false" ht="12.75" hidden="false" customHeight="true" outlineLevel="0" collapsed="false"/>
    <row r="4218" customFormat="false" ht="12.75" hidden="false" customHeight="true" outlineLevel="0" collapsed="false"/>
    <row r="4219" customFormat="false" ht="12.75" hidden="false" customHeight="true" outlineLevel="0" collapsed="false"/>
    <row r="4220" customFormat="false" ht="12.75" hidden="false" customHeight="true" outlineLevel="0" collapsed="false"/>
    <row r="4221" customFormat="false" ht="12.75" hidden="false" customHeight="true" outlineLevel="0" collapsed="false"/>
    <row r="4222" customFormat="false" ht="12.75" hidden="false" customHeight="true" outlineLevel="0" collapsed="false"/>
    <row r="4223" customFormat="false" ht="12.75" hidden="false" customHeight="true" outlineLevel="0" collapsed="false"/>
    <row r="4224" customFormat="false" ht="12.75" hidden="false" customHeight="true" outlineLevel="0" collapsed="false"/>
    <row r="4225" customFormat="false" ht="12.75" hidden="false" customHeight="true" outlineLevel="0" collapsed="false"/>
    <row r="4226" customFormat="false" ht="12.75" hidden="false" customHeight="true" outlineLevel="0" collapsed="false"/>
    <row r="4227" customFormat="false" ht="12.75" hidden="false" customHeight="true" outlineLevel="0" collapsed="false"/>
    <row r="4228" customFormat="false" ht="12.75" hidden="false" customHeight="true" outlineLevel="0" collapsed="false"/>
    <row r="4229" customFormat="false" ht="12.75" hidden="false" customHeight="true" outlineLevel="0" collapsed="false"/>
    <row r="4230" customFormat="false" ht="12.75" hidden="false" customHeight="true" outlineLevel="0" collapsed="false"/>
    <row r="4231" customFormat="false" ht="12.75" hidden="false" customHeight="true" outlineLevel="0" collapsed="false"/>
    <row r="4232" customFormat="false" ht="12.75" hidden="false" customHeight="true" outlineLevel="0" collapsed="false"/>
    <row r="4233" customFormat="false" ht="12.75" hidden="false" customHeight="true" outlineLevel="0" collapsed="false"/>
    <row r="4234" customFormat="false" ht="12.75" hidden="false" customHeight="true" outlineLevel="0" collapsed="false"/>
    <row r="4235" customFormat="false" ht="12.75" hidden="false" customHeight="true" outlineLevel="0" collapsed="false"/>
    <row r="4236" customFormat="false" ht="12.75" hidden="false" customHeight="true" outlineLevel="0" collapsed="false"/>
    <row r="4237" customFormat="false" ht="12.75" hidden="false" customHeight="true" outlineLevel="0" collapsed="false"/>
    <row r="4238" customFormat="false" ht="12.75" hidden="false" customHeight="true" outlineLevel="0" collapsed="false"/>
    <row r="4239" customFormat="false" ht="12.75" hidden="false" customHeight="true" outlineLevel="0" collapsed="false"/>
    <row r="4240" customFormat="false" ht="12.75" hidden="false" customHeight="true" outlineLevel="0" collapsed="false"/>
    <row r="4241" customFormat="false" ht="12.75" hidden="false" customHeight="true" outlineLevel="0" collapsed="false"/>
    <row r="4242" customFormat="false" ht="12.75" hidden="false" customHeight="true" outlineLevel="0" collapsed="false"/>
    <row r="4243" customFormat="false" ht="12.75" hidden="false" customHeight="true" outlineLevel="0" collapsed="false"/>
    <row r="4244" customFormat="false" ht="12.75" hidden="false" customHeight="true" outlineLevel="0" collapsed="false"/>
    <row r="4245" customFormat="false" ht="12.75" hidden="false" customHeight="true" outlineLevel="0" collapsed="false"/>
    <row r="4246" customFormat="false" ht="12.75" hidden="false" customHeight="true" outlineLevel="0" collapsed="false"/>
    <row r="4247" customFormat="false" ht="12.75" hidden="false" customHeight="true" outlineLevel="0" collapsed="false"/>
    <row r="4248" customFormat="false" ht="12.75" hidden="false" customHeight="true" outlineLevel="0" collapsed="false"/>
    <row r="4249" customFormat="false" ht="12.75" hidden="false" customHeight="true" outlineLevel="0" collapsed="false"/>
    <row r="4250" customFormat="false" ht="12.75" hidden="false" customHeight="true" outlineLevel="0" collapsed="false"/>
    <row r="4251" customFormat="false" ht="12.75" hidden="false" customHeight="true" outlineLevel="0" collapsed="false"/>
    <row r="4252" customFormat="false" ht="12.75" hidden="false" customHeight="true" outlineLevel="0" collapsed="false"/>
    <row r="4253" customFormat="false" ht="12.75" hidden="false" customHeight="true" outlineLevel="0" collapsed="false"/>
    <row r="4254" customFormat="false" ht="12.75" hidden="false" customHeight="true" outlineLevel="0" collapsed="false"/>
    <row r="4255" customFormat="false" ht="12.75" hidden="false" customHeight="true" outlineLevel="0" collapsed="false"/>
    <row r="4256" customFormat="false" ht="12.75" hidden="false" customHeight="true" outlineLevel="0" collapsed="false"/>
    <row r="4257" customFormat="false" ht="12.75" hidden="false" customHeight="true" outlineLevel="0" collapsed="false"/>
    <row r="4258" customFormat="false" ht="12.75" hidden="false" customHeight="true" outlineLevel="0" collapsed="false"/>
    <row r="4259" customFormat="false" ht="12.75" hidden="false" customHeight="true" outlineLevel="0" collapsed="false"/>
    <row r="4260" customFormat="false" ht="12.75" hidden="false" customHeight="true" outlineLevel="0" collapsed="false"/>
    <row r="4261" customFormat="false" ht="12.75" hidden="false" customHeight="true" outlineLevel="0" collapsed="false"/>
    <row r="4262" customFormat="false" ht="12.75" hidden="false" customHeight="true" outlineLevel="0" collapsed="false"/>
    <row r="4263" customFormat="false" ht="12.75" hidden="false" customHeight="true" outlineLevel="0" collapsed="false"/>
    <row r="4264" customFormat="false" ht="12.75" hidden="false" customHeight="true" outlineLevel="0" collapsed="false"/>
    <row r="4265" customFormat="false" ht="12.75" hidden="false" customHeight="true" outlineLevel="0" collapsed="false"/>
    <row r="4266" customFormat="false" ht="12.75" hidden="false" customHeight="true" outlineLevel="0" collapsed="false"/>
    <row r="4267" customFormat="false" ht="12.75" hidden="false" customHeight="true" outlineLevel="0" collapsed="false"/>
    <row r="4268" customFormat="false" ht="12.75" hidden="false" customHeight="true" outlineLevel="0" collapsed="false"/>
    <row r="4269" customFormat="false" ht="12.75" hidden="false" customHeight="true" outlineLevel="0" collapsed="false"/>
    <row r="4270" customFormat="false" ht="12.75" hidden="false" customHeight="true" outlineLevel="0" collapsed="false"/>
    <row r="4271" customFormat="false" ht="12.75" hidden="false" customHeight="true" outlineLevel="0" collapsed="false"/>
    <row r="4272" customFormat="false" ht="12.75" hidden="false" customHeight="true" outlineLevel="0" collapsed="false"/>
    <row r="4273" customFormat="false" ht="12.75" hidden="false" customHeight="true" outlineLevel="0" collapsed="false"/>
    <row r="4274" customFormat="false" ht="12.75" hidden="false" customHeight="true" outlineLevel="0" collapsed="false"/>
    <row r="4275" customFormat="false" ht="12.75" hidden="false" customHeight="true" outlineLevel="0" collapsed="false"/>
    <row r="4276" customFormat="false" ht="12.75" hidden="false" customHeight="true" outlineLevel="0" collapsed="false"/>
    <row r="4277" customFormat="false" ht="12.75" hidden="false" customHeight="true" outlineLevel="0" collapsed="false"/>
    <row r="4278" customFormat="false" ht="12.75" hidden="false" customHeight="true" outlineLevel="0" collapsed="false"/>
    <row r="4279" customFormat="false" ht="12.75" hidden="false" customHeight="true" outlineLevel="0" collapsed="false"/>
    <row r="4280" customFormat="false" ht="12.75" hidden="false" customHeight="true" outlineLevel="0" collapsed="false"/>
    <row r="4281" customFormat="false" ht="12.75" hidden="false" customHeight="true" outlineLevel="0" collapsed="false"/>
    <row r="4282" customFormat="false" ht="12.75" hidden="false" customHeight="true" outlineLevel="0" collapsed="false"/>
    <row r="4283" customFormat="false" ht="12.75" hidden="false" customHeight="true" outlineLevel="0" collapsed="false"/>
    <row r="4284" customFormat="false" ht="12.75" hidden="false" customHeight="true" outlineLevel="0" collapsed="false"/>
    <row r="4285" customFormat="false" ht="12.75" hidden="false" customHeight="true" outlineLevel="0" collapsed="false"/>
    <row r="4286" customFormat="false" ht="12.75" hidden="false" customHeight="true" outlineLevel="0" collapsed="false"/>
    <row r="4287" customFormat="false" ht="12.75" hidden="false" customHeight="true" outlineLevel="0" collapsed="false"/>
    <row r="4288" customFormat="false" ht="12.75" hidden="false" customHeight="true" outlineLevel="0" collapsed="false"/>
    <row r="4289" customFormat="false" ht="12.75" hidden="false" customHeight="true" outlineLevel="0" collapsed="false"/>
    <row r="4290" customFormat="false" ht="12.75" hidden="false" customHeight="true" outlineLevel="0" collapsed="false"/>
    <row r="4291" customFormat="false" ht="12.75" hidden="false" customHeight="true" outlineLevel="0" collapsed="false"/>
    <row r="4292" customFormat="false" ht="12.75" hidden="false" customHeight="true" outlineLevel="0" collapsed="false"/>
    <row r="4293" customFormat="false" ht="12.75" hidden="false" customHeight="true" outlineLevel="0" collapsed="false"/>
    <row r="4294" customFormat="false" ht="12.75" hidden="false" customHeight="true" outlineLevel="0" collapsed="false"/>
    <row r="4295" customFormat="false" ht="12.75" hidden="false" customHeight="true" outlineLevel="0" collapsed="false"/>
    <row r="4296" customFormat="false" ht="12.75" hidden="false" customHeight="true" outlineLevel="0" collapsed="false"/>
    <row r="4297" customFormat="false" ht="12.75" hidden="false" customHeight="true" outlineLevel="0" collapsed="false"/>
    <row r="4298" customFormat="false" ht="12.75" hidden="false" customHeight="true" outlineLevel="0" collapsed="false"/>
    <row r="4299" customFormat="false" ht="12.75" hidden="false" customHeight="true" outlineLevel="0" collapsed="false"/>
    <row r="4300" customFormat="false" ht="12.75" hidden="false" customHeight="true" outlineLevel="0" collapsed="false"/>
    <row r="4310" customFormat="false" ht="12.75" hidden="false" customHeight="true" outlineLevel="0" collapsed="false"/>
    <row r="4311" customFormat="false" ht="12.75" hidden="false" customHeight="true" outlineLevel="0" collapsed="false"/>
    <row r="4312" customFormat="false" ht="12.75" hidden="false" customHeight="true" outlineLevel="0" collapsed="false"/>
    <row r="4313" customFormat="false" ht="12.75" hidden="false" customHeight="true" outlineLevel="0" collapsed="false"/>
    <row r="60971" customFormat="false" ht="12.75" hidden="false" customHeight="true" outlineLevel="0" collapsed="false"/>
    <row r="60987" customFormat="false" ht="12.75" hidden="false" customHeight="true" outlineLevel="0" collapsed="false"/>
    <row r="61003" customFormat="false" ht="12.75" hidden="false" customHeight="true" outlineLevel="0" collapsed="false"/>
    <row r="61019" customFormat="false" ht="12.75" hidden="false" customHeight="true" outlineLevel="0" collapsed="false"/>
    <row r="61032" customFormat="false" ht="12.75" hidden="false" customHeight="true" outlineLevel="0" collapsed="false"/>
    <row r="61033" customFormat="false" ht="12.75" hidden="false" customHeight="true" outlineLevel="0" collapsed="false"/>
    <row r="61035" customFormat="false" ht="12.75" hidden="false" customHeight="true" outlineLevel="0" collapsed="false"/>
    <row r="61046" customFormat="false" ht="12.75" hidden="false" customHeight="true" outlineLevel="0" collapsed="false"/>
    <row r="61047" customFormat="false" ht="12.75" hidden="false" customHeight="true" outlineLevel="0" collapsed="false"/>
    <row r="61048" customFormat="false" ht="12.75" hidden="false" customHeight="true" outlineLevel="0" collapsed="false"/>
    <row r="61049" customFormat="false" ht="12.75" hidden="false" customHeight="true" outlineLevel="0" collapsed="false"/>
    <row r="61051" customFormat="false" ht="12.75" hidden="false" customHeight="true" outlineLevel="0" collapsed="false"/>
    <row r="61062" customFormat="false" ht="12.75" hidden="false" customHeight="true" outlineLevel="0" collapsed="false"/>
    <row r="61063" customFormat="false" ht="12.75" hidden="false" customHeight="true" outlineLevel="0" collapsed="false"/>
    <row r="61064" customFormat="false" ht="12.75" hidden="false" customHeight="true" outlineLevel="0" collapsed="false"/>
    <row r="61065" customFormat="false" ht="12.75" hidden="false" customHeight="true" outlineLevel="0" collapsed="false"/>
    <row r="61067" customFormat="false" ht="12.75" hidden="false" customHeight="true" outlineLevel="0" collapsed="false"/>
    <row r="61078" customFormat="false" ht="12.75" hidden="false" customHeight="true" outlineLevel="0" collapsed="false"/>
    <row r="61079" customFormat="false" ht="12.75" hidden="false" customHeight="true" outlineLevel="0" collapsed="false"/>
    <row r="61080" customFormat="false" ht="12.75" hidden="false" customHeight="true" outlineLevel="0" collapsed="false"/>
    <row r="61081" customFormat="false" ht="12.75" hidden="false" customHeight="true" outlineLevel="0" collapsed="false"/>
    <row r="61083" customFormat="false" ht="12.75" hidden="false" customHeight="true" outlineLevel="0" collapsed="false"/>
    <row r="61094" customFormat="false" ht="12.75" hidden="false" customHeight="true" outlineLevel="0" collapsed="false"/>
    <row r="61095" customFormat="false" ht="12.75" hidden="false" customHeight="true" outlineLevel="0" collapsed="false"/>
    <row r="61096" customFormat="false" ht="12.75" hidden="false" customHeight="true" outlineLevel="0" collapsed="false"/>
    <row r="61097" customFormat="false" ht="12.75" hidden="false" customHeight="true" outlineLevel="0" collapsed="false"/>
    <row r="61099" customFormat="false" ht="12.75" hidden="false" customHeight="true" outlineLevel="0" collapsed="false"/>
    <row r="61110" customFormat="false" ht="12.75" hidden="false" customHeight="true" outlineLevel="0" collapsed="false"/>
    <row r="61111" customFormat="false" ht="12.75" hidden="false" customHeight="true" outlineLevel="0" collapsed="false"/>
    <row r="61112" customFormat="false" ht="12.75" hidden="false" customHeight="true" outlineLevel="0" collapsed="false"/>
    <row r="61113" customFormat="false" ht="12.75" hidden="false" customHeight="true" outlineLevel="0" collapsed="false"/>
    <row r="61115" customFormat="false" ht="12.75" hidden="false" customHeight="true" outlineLevel="0" collapsed="false"/>
    <row r="61126" customFormat="false" ht="12.75" hidden="false" customHeight="true" outlineLevel="0" collapsed="false"/>
    <row r="61127" customFormat="false" ht="12.75" hidden="false" customHeight="true" outlineLevel="0" collapsed="false"/>
    <row r="61128" customFormat="false" ht="12.75" hidden="false" customHeight="true" outlineLevel="0" collapsed="false"/>
    <row r="61129" customFormat="false" ht="12.75" hidden="false" customHeight="true" outlineLevel="0" collapsed="false"/>
    <row r="61131" customFormat="false" ht="12.75" hidden="false" customHeight="true" outlineLevel="0" collapsed="false"/>
    <row r="61142" customFormat="false" ht="12.75" hidden="false" customHeight="true" outlineLevel="0" collapsed="false"/>
    <row r="61143" customFormat="false" ht="12.75" hidden="false" customHeight="true" outlineLevel="0" collapsed="false"/>
    <row r="61144" customFormat="false" ht="12.75" hidden="false" customHeight="true" outlineLevel="0" collapsed="false"/>
    <row r="61145" customFormat="false" ht="12.75" hidden="false" customHeight="true" outlineLevel="0" collapsed="false"/>
    <row r="61147" customFormat="false" ht="12.75" hidden="false" customHeight="true" outlineLevel="0" collapsed="false"/>
    <row r="61158" customFormat="false" ht="12.75" hidden="false" customHeight="true" outlineLevel="0" collapsed="false"/>
    <row r="61159" customFormat="false" ht="12.75" hidden="false" customHeight="true" outlineLevel="0" collapsed="false"/>
    <row r="61160" customFormat="false" ht="12.75" hidden="false" customHeight="true" outlineLevel="0" collapsed="false"/>
    <row r="61161" customFormat="false" ht="12.75" hidden="false" customHeight="true" outlineLevel="0" collapsed="false"/>
    <row r="61163" customFormat="false" ht="12.75" hidden="false" customHeight="true" outlineLevel="0" collapsed="false"/>
    <row r="61171" customFormat="false" ht="12.75" hidden="false" customHeight="true" outlineLevel="0" collapsed="false"/>
    <row r="61174" customFormat="false" ht="12.75" hidden="false" customHeight="true" outlineLevel="0" collapsed="false"/>
    <row r="61175" customFormat="false" ht="12.75" hidden="false" customHeight="true" outlineLevel="0" collapsed="false"/>
    <row r="61176" customFormat="false" ht="12.75" hidden="false" customHeight="true" outlineLevel="0" collapsed="false"/>
    <row r="61177" customFormat="false" ht="12.75" hidden="false" customHeight="true" outlineLevel="0" collapsed="false"/>
    <row r="61179" customFormat="false" ht="12.75" hidden="false" customHeight="true" outlineLevel="0" collapsed="false"/>
    <row r="61187" customFormat="false" ht="12.75" hidden="false" customHeight="true" outlineLevel="0" collapsed="false"/>
    <row r="61190" customFormat="false" ht="12.75" hidden="false" customHeight="true" outlineLevel="0" collapsed="false"/>
    <row r="61191" customFormat="false" ht="12.75" hidden="false" customHeight="true" outlineLevel="0" collapsed="false"/>
    <row r="61192" customFormat="false" ht="12.75" hidden="false" customHeight="true" outlineLevel="0" collapsed="false"/>
    <row r="61193" customFormat="false" ht="12.75" hidden="false" customHeight="true" outlineLevel="0" collapsed="false"/>
    <row r="61195" customFormat="false" ht="12.75" hidden="false" customHeight="true" outlineLevel="0" collapsed="false"/>
    <row r="61203" customFormat="false" ht="12.75" hidden="false" customHeight="true" outlineLevel="0" collapsed="false"/>
    <row r="61204" customFormat="false" ht="12.75" hidden="false" customHeight="true" outlineLevel="0" collapsed="false"/>
    <row r="61206" customFormat="false" ht="12.75" hidden="false" customHeight="true" outlineLevel="0" collapsed="false"/>
    <row r="61207" customFormat="false" ht="12.75" hidden="false" customHeight="true" outlineLevel="0" collapsed="false"/>
    <row r="61208" customFormat="false" ht="12.75" hidden="false" customHeight="true" outlineLevel="0" collapsed="false"/>
    <row r="61209" customFormat="false" ht="12.75" hidden="false" customHeight="true" outlineLevel="0" collapsed="false"/>
    <row r="61211" customFormat="false" ht="12.75" hidden="false" customHeight="true" outlineLevel="0" collapsed="false"/>
    <row r="61219" customFormat="false" ht="12.75" hidden="false" customHeight="true" outlineLevel="0" collapsed="false"/>
    <row r="61220" customFormat="false" ht="12.75" hidden="false" customHeight="true" outlineLevel="0" collapsed="false"/>
    <row r="61221" customFormat="false" ht="12.75" hidden="false" customHeight="true" outlineLevel="0" collapsed="false"/>
    <row r="61222" customFormat="false" ht="12.75" hidden="false" customHeight="true" outlineLevel="0" collapsed="false"/>
    <row r="61223" customFormat="false" ht="12.75" hidden="false" customHeight="true" outlineLevel="0" collapsed="false"/>
    <row r="61224" customFormat="false" ht="12.75" hidden="false" customHeight="true" outlineLevel="0" collapsed="false"/>
    <row r="61225" customFormat="false" ht="12.75" hidden="false" customHeight="true" outlineLevel="0" collapsed="false"/>
    <row r="61227" customFormat="false" ht="12.75" hidden="false" customHeight="true" outlineLevel="0" collapsed="false"/>
    <row r="61235" customFormat="false" ht="12.75" hidden="false" customHeight="true" outlineLevel="0" collapsed="false"/>
    <row r="61236" customFormat="false" ht="12.75" hidden="false" customHeight="true" outlineLevel="0" collapsed="false"/>
    <row r="61237" customFormat="false" ht="12.75" hidden="false" customHeight="true" outlineLevel="0" collapsed="false"/>
    <row r="61238" customFormat="false" ht="12.75" hidden="false" customHeight="true" outlineLevel="0" collapsed="false"/>
    <row r="61239" customFormat="false" ht="12.75" hidden="false" customHeight="true" outlineLevel="0" collapsed="false"/>
    <row r="61240" customFormat="false" ht="12.75" hidden="false" customHeight="true" outlineLevel="0" collapsed="false"/>
    <row r="61241" customFormat="false" ht="12.75" hidden="false" customHeight="true" outlineLevel="0" collapsed="false"/>
    <row r="61243" customFormat="false" ht="12.75" hidden="false" customHeight="true" outlineLevel="0" collapsed="false"/>
    <row r="61249" customFormat="false" ht="12.75" hidden="false" customHeight="true" outlineLevel="0" collapsed="false"/>
    <row r="61250" customFormat="false" ht="12.75" hidden="false" customHeight="true" outlineLevel="0" collapsed="false"/>
    <row r="61251" customFormat="false" ht="12.75" hidden="false" customHeight="true" outlineLevel="0" collapsed="false"/>
    <row r="61252" customFormat="false" ht="12.75" hidden="false" customHeight="true" outlineLevel="0" collapsed="false"/>
    <row r="61253" customFormat="false" ht="12.75" hidden="false" customHeight="true" outlineLevel="0" collapsed="false"/>
    <row r="61254" customFormat="false" ht="12.75" hidden="false" customHeight="true" outlineLevel="0" collapsed="false"/>
    <row r="61255" customFormat="false" ht="12.75" hidden="false" customHeight="true" outlineLevel="0" collapsed="false"/>
    <row r="61256" customFormat="false" ht="12.75" hidden="false" customHeight="true" outlineLevel="0" collapsed="false"/>
    <row r="61257" customFormat="false" ht="12.75" hidden="false" customHeight="true" outlineLevel="0" collapsed="false"/>
    <row r="61258" customFormat="false" ht="12.75" hidden="false" customHeight="true" outlineLevel="0" collapsed="false"/>
    <row r="61259" customFormat="false" ht="12.75" hidden="false" customHeight="true" outlineLevel="0" collapsed="false"/>
    <row r="61260" customFormat="false" ht="12.75" hidden="false" customHeight="true" outlineLevel="0" collapsed="false"/>
    <row r="61265" customFormat="false" ht="12.75" hidden="false" customHeight="true" outlineLevel="0" collapsed="false"/>
    <row r="61266" customFormat="false" ht="12.75" hidden="false" customHeight="true" outlineLevel="0" collapsed="false"/>
    <row r="61267" customFormat="false" ht="12.75" hidden="false" customHeight="true" outlineLevel="0" collapsed="false"/>
    <row r="61268" customFormat="false" ht="12.75" hidden="false" customHeight="true" outlineLevel="0" collapsed="false"/>
    <row r="61269" customFormat="false" ht="12.75" hidden="false" customHeight="true" outlineLevel="0" collapsed="false"/>
    <row r="61270" customFormat="false" ht="12.75" hidden="false" customHeight="true" outlineLevel="0" collapsed="false"/>
    <row r="61271" customFormat="false" ht="12.75" hidden="false" customHeight="true" outlineLevel="0" collapsed="false"/>
    <row r="61272" customFormat="false" ht="12.75" hidden="false" customHeight="true" outlineLevel="0" collapsed="false"/>
    <row r="61273" customFormat="false" ht="12.75" hidden="false" customHeight="true" outlineLevel="0" collapsed="false"/>
    <row r="61274" customFormat="false" ht="12.75" hidden="false" customHeight="true" outlineLevel="0" collapsed="false"/>
    <row r="61275" customFormat="false" ht="12.75" hidden="false" customHeight="true" outlineLevel="0" collapsed="false"/>
    <row r="61276" customFormat="false" ht="12.75" hidden="false" customHeight="true" outlineLevel="0" collapsed="false"/>
    <row r="61281" customFormat="false" ht="12.75" hidden="false" customHeight="true" outlineLevel="0" collapsed="false"/>
    <row r="61282" customFormat="false" ht="12.75" hidden="false" customHeight="true" outlineLevel="0" collapsed="false"/>
    <row r="61283" customFormat="false" ht="12.75" hidden="false" customHeight="true" outlineLevel="0" collapsed="false"/>
    <row r="61284" customFormat="false" ht="12.75" hidden="false" customHeight="true" outlineLevel="0" collapsed="false"/>
    <row r="61285" customFormat="false" ht="12.75" hidden="false" customHeight="true" outlineLevel="0" collapsed="false"/>
    <row r="61286" customFormat="false" ht="12.75" hidden="false" customHeight="true" outlineLevel="0" collapsed="false"/>
    <row r="61287" customFormat="false" ht="12.75" hidden="false" customHeight="true" outlineLevel="0" collapsed="false"/>
    <row r="61288" customFormat="false" ht="12.75" hidden="false" customHeight="true" outlineLevel="0" collapsed="false"/>
    <row r="61289" customFormat="false" ht="12.75" hidden="false" customHeight="true" outlineLevel="0" collapsed="false"/>
    <row r="61290" customFormat="false" ht="12.75" hidden="false" customHeight="true" outlineLevel="0" collapsed="false"/>
    <row r="61291" customFormat="false" ht="12.75" hidden="false" customHeight="true" outlineLevel="0" collapsed="false"/>
    <row r="61292" customFormat="false" ht="12.75" hidden="false" customHeight="true" outlineLevel="0" collapsed="false"/>
    <row r="61297" customFormat="false" ht="12.75" hidden="false" customHeight="true" outlineLevel="0" collapsed="false"/>
    <row r="61298" customFormat="false" ht="12.75" hidden="false" customHeight="true" outlineLevel="0" collapsed="false"/>
    <row r="61299" customFormat="false" ht="12.75" hidden="false" customHeight="true" outlineLevel="0" collapsed="false"/>
    <row r="61300" customFormat="false" ht="12.75" hidden="false" customHeight="true" outlineLevel="0" collapsed="false"/>
    <row r="61301" customFormat="false" ht="12.75" hidden="false" customHeight="true" outlineLevel="0" collapsed="false"/>
    <row r="61302" customFormat="false" ht="12.75" hidden="false" customHeight="true" outlineLevel="0" collapsed="false"/>
    <row r="61303" customFormat="false" ht="12.75" hidden="false" customHeight="true" outlineLevel="0" collapsed="false"/>
    <row r="61304" customFormat="false" ht="12.75" hidden="false" customHeight="true" outlineLevel="0" collapsed="false"/>
    <row r="61305" customFormat="false" ht="12.75" hidden="false" customHeight="true" outlineLevel="0" collapsed="false"/>
    <row r="61306" customFormat="false" ht="12.75" hidden="false" customHeight="true" outlineLevel="0" collapsed="false"/>
    <row r="61307" customFormat="false" ht="12.75" hidden="false" customHeight="true" outlineLevel="0" collapsed="false"/>
    <row r="61308" customFormat="false" ht="12.75" hidden="false" customHeight="true" outlineLevel="0" collapsed="false"/>
    <row r="61312" customFormat="false" ht="12.75" hidden="false" customHeight="true" outlineLevel="0" collapsed="false"/>
    <row r="61313" customFormat="false" ht="12.75" hidden="false" customHeight="true" outlineLevel="0" collapsed="false"/>
    <row r="61314" customFormat="false" ht="12.75" hidden="false" customHeight="true" outlineLevel="0" collapsed="false"/>
    <row r="61315" customFormat="false" ht="12.75" hidden="false" customHeight="true" outlineLevel="0" collapsed="false"/>
    <row r="61316" customFormat="false" ht="12.75" hidden="false" customHeight="true" outlineLevel="0" collapsed="false"/>
    <row r="61317" customFormat="false" ht="12.75" hidden="false" customHeight="true" outlineLevel="0" collapsed="false"/>
    <row r="61318" customFormat="false" ht="12.75" hidden="false" customHeight="true" outlineLevel="0" collapsed="false"/>
    <row r="61319" customFormat="false" ht="12.75" hidden="false" customHeight="true" outlineLevel="0" collapsed="false"/>
    <row r="61320" customFormat="false" ht="12.75" hidden="false" customHeight="true" outlineLevel="0" collapsed="false"/>
    <row r="61321" customFormat="false" ht="12.75" hidden="false" customHeight="true" outlineLevel="0" collapsed="false"/>
    <row r="61322" customFormat="false" ht="12.75" hidden="false" customHeight="true" outlineLevel="0" collapsed="false"/>
    <row r="61323" customFormat="false" ht="12.75" hidden="false" customHeight="true" outlineLevel="0" collapsed="false"/>
    <row r="61324" customFormat="false" ht="12.75" hidden="false" customHeight="true" outlineLevel="0" collapsed="false"/>
    <row r="61328" customFormat="false" ht="12.75" hidden="false" customHeight="true" outlineLevel="0" collapsed="false"/>
    <row r="61329" customFormat="false" ht="12.75" hidden="false" customHeight="true" outlineLevel="0" collapsed="false"/>
    <row r="61330" customFormat="false" ht="12.75" hidden="false" customHeight="true" outlineLevel="0" collapsed="false"/>
    <row r="61331" customFormat="false" ht="12.75" hidden="false" customHeight="true" outlineLevel="0" collapsed="false"/>
    <row r="61332" customFormat="false" ht="12.75" hidden="false" customHeight="true" outlineLevel="0" collapsed="false"/>
    <row r="61333" customFormat="false" ht="12.75" hidden="false" customHeight="true" outlineLevel="0" collapsed="false"/>
    <row r="61334" customFormat="false" ht="12.75" hidden="false" customHeight="true" outlineLevel="0" collapsed="false"/>
    <row r="61335" customFormat="false" ht="12.75" hidden="false" customHeight="true" outlineLevel="0" collapsed="false"/>
    <row r="61336" customFormat="false" ht="12.75" hidden="false" customHeight="true" outlineLevel="0" collapsed="false"/>
    <row r="61337" customFormat="false" ht="12.75" hidden="false" customHeight="true" outlineLevel="0" collapsed="false"/>
    <row r="61338" customFormat="false" ht="12.75" hidden="false" customHeight="true" outlineLevel="0" collapsed="false"/>
    <row r="61339" customFormat="false" ht="12.75" hidden="false" customHeight="true" outlineLevel="0" collapsed="false"/>
    <row r="61340" customFormat="false" ht="12.75" hidden="false" customHeight="true" outlineLevel="0" collapsed="false"/>
    <row r="61344" customFormat="false" ht="12.75" hidden="false" customHeight="true" outlineLevel="0" collapsed="false"/>
    <row r="61345" customFormat="false" ht="12.75" hidden="false" customHeight="true" outlineLevel="0" collapsed="false"/>
    <row r="61346" customFormat="false" ht="12.75" hidden="false" customHeight="true" outlineLevel="0" collapsed="false"/>
    <row r="61347" customFormat="false" ht="12.75" hidden="false" customHeight="true" outlineLevel="0" collapsed="false"/>
    <row r="61348" customFormat="false" ht="12.75" hidden="false" customHeight="true" outlineLevel="0" collapsed="false"/>
    <row r="61349" customFormat="false" ht="12.75" hidden="false" customHeight="true" outlineLevel="0" collapsed="false"/>
    <row r="61350" customFormat="false" ht="12.75" hidden="false" customHeight="true" outlineLevel="0" collapsed="false"/>
    <row r="61351" customFormat="false" ht="12.75" hidden="false" customHeight="true" outlineLevel="0" collapsed="false"/>
    <row r="61352" customFormat="false" ht="12.75" hidden="false" customHeight="true" outlineLevel="0" collapsed="false"/>
    <row r="61353" customFormat="false" ht="12.75" hidden="false" customHeight="true" outlineLevel="0" collapsed="false"/>
    <row r="61354" customFormat="false" ht="12.75" hidden="false" customHeight="true" outlineLevel="0" collapsed="false"/>
    <row r="61355" customFormat="false" ht="12.75" hidden="false" customHeight="true" outlineLevel="0" collapsed="false"/>
    <row r="61356" customFormat="false" ht="12.75" hidden="false" customHeight="true" outlineLevel="0" collapsed="false"/>
    <row r="61360" customFormat="false" ht="12.75" hidden="false" customHeight="true" outlineLevel="0" collapsed="false"/>
    <row r="61361" customFormat="false" ht="12.75" hidden="false" customHeight="true" outlineLevel="0" collapsed="false"/>
    <row r="61362" customFormat="false" ht="12.75" hidden="false" customHeight="true" outlineLevel="0" collapsed="false"/>
    <row r="61363" customFormat="false" ht="12.75" hidden="false" customHeight="true" outlineLevel="0" collapsed="false"/>
    <row r="61364" customFormat="false" ht="12.75" hidden="false" customHeight="true" outlineLevel="0" collapsed="false"/>
    <row r="61365" customFormat="false" ht="12.75" hidden="false" customHeight="true" outlineLevel="0" collapsed="false"/>
    <row r="61366" customFormat="false" ht="12.75" hidden="false" customHeight="true" outlineLevel="0" collapsed="false"/>
    <row r="61367" customFormat="false" ht="12.75" hidden="false" customHeight="true" outlineLevel="0" collapsed="false"/>
    <row r="61368" customFormat="false" ht="12.75" hidden="false" customHeight="true" outlineLevel="0" collapsed="false"/>
    <row r="61369" customFormat="false" ht="12.75" hidden="false" customHeight="true" outlineLevel="0" collapsed="false"/>
    <row r="61370" customFormat="false" ht="12.75" hidden="false" customHeight="true" outlineLevel="0" collapsed="false"/>
    <row r="61371" customFormat="false" ht="12.75" hidden="false" customHeight="true" outlineLevel="0" collapsed="false"/>
    <row r="61372" customFormat="false" ht="12.75" hidden="false" customHeight="true" outlineLevel="0" collapsed="false"/>
    <row r="61376" customFormat="false" ht="12.75" hidden="false" customHeight="true" outlineLevel="0" collapsed="false"/>
    <row r="61377" customFormat="false" ht="12.75" hidden="false" customHeight="true" outlineLevel="0" collapsed="false"/>
    <row r="61378" customFormat="false" ht="12.75" hidden="false" customHeight="true" outlineLevel="0" collapsed="false"/>
    <row r="61379" customFormat="false" ht="12.75" hidden="false" customHeight="true" outlineLevel="0" collapsed="false"/>
    <row r="61380" customFormat="false" ht="12.75" hidden="false" customHeight="true" outlineLevel="0" collapsed="false"/>
    <row r="61381" customFormat="false" ht="12.75" hidden="false" customHeight="true" outlineLevel="0" collapsed="false"/>
    <row r="61382" customFormat="false" ht="12.75" hidden="false" customHeight="true" outlineLevel="0" collapsed="false"/>
    <row r="61383" customFormat="false" ht="12.75" hidden="false" customHeight="true" outlineLevel="0" collapsed="false"/>
    <row r="61384" customFormat="false" ht="12.75" hidden="false" customHeight="true" outlineLevel="0" collapsed="false"/>
    <row r="61385" customFormat="false" ht="12.75" hidden="false" customHeight="true" outlineLevel="0" collapsed="false"/>
    <row r="61386" customFormat="false" ht="12.75" hidden="false" customHeight="true" outlineLevel="0" collapsed="false"/>
    <row r="61387" customFormat="false" ht="12.75" hidden="false" customHeight="true" outlineLevel="0" collapsed="false"/>
    <row r="61388" customFormat="false" ht="12.75" hidden="false" customHeight="true" outlineLevel="0" collapsed="false"/>
    <row r="61392" customFormat="false" ht="12.75" hidden="false" customHeight="true" outlineLevel="0" collapsed="false"/>
    <row r="61393" customFormat="false" ht="12.75" hidden="false" customHeight="true" outlineLevel="0" collapsed="false"/>
    <row r="61394" customFormat="false" ht="12.75" hidden="false" customHeight="true" outlineLevel="0" collapsed="false"/>
    <row r="61395" customFormat="false" ht="12.75" hidden="false" customHeight="true" outlineLevel="0" collapsed="false"/>
    <row r="61396" customFormat="false" ht="12.75" hidden="false" customHeight="true" outlineLevel="0" collapsed="false"/>
    <row r="61397" customFormat="false" ht="12.75" hidden="false" customHeight="true" outlineLevel="0" collapsed="false"/>
    <row r="61398" customFormat="false" ht="12.75" hidden="false" customHeight="true" outlineLevel="0" collapsed="false"/>
    <row r="61399" customFormat="false" ht="12.75" hidden="false" customHeight="true" outlineLevel="0" collapsed="false"/>
    <row r="61400" customFormat="false" ht="12.75" hidden="false" customHeight="true" outlineLevel="0" collapsed="false"/>
    <row r="61401" customFormat="false" ht="12.75" hidden="false" customHeight="true" outlineLevel="0" collapsed="false"/>
    <row r="61402" customFormat="false" ht="12.75" hidden="false" customHeight="true" outlineLevel="0" collapsed="false"/>
    <row r="61403" customFormat="false" ht="12.75" hidden="false" customHeight="true" outlineLevel="0" collapsed="false"/>
    <row r="61404" customFormat="false" ht="12.75" hidden="false" customHeight="true" outlineLevel="0" collapsed="false"/>
    <row r="61408" customFormat="false" ht="12.75" hidden="false" customHeight="true" outlineLevel="0" collapsed="false"/>
    <row r="61409" customFormat="false" ht="12.75" hidden="false" customHeight="true" outlineLevel="0" collapsed="false"/>
    <row r="61410" customFormat="false" ht="12.75" hidden="false" customHeight="true" outlineLevel="0" collapsed="false"/>
    <row r="61411" customFormat="false" ht="12.75" hidden="false" customHeight="true" outlineLevel="0" collapsed="false"/>
    <row r="61412" customFormat="false" ht="12.75" hidden="false" customHeight="true" outlineLevel="0" collapsed="false"/>
    <row r="61413" customFormat="false" ht="12.75" hidden="false" customHeight="true" outlineLevel="0" collapsed="false"/>
    <row r="61414" customFormat="false" ht="12.75" hidden="false" customHeight="true" outlineLevel="0" collapsed="false"/>
    <row r="61415" customFormat="false" ht="12.75" hidden="false" customHeight="true" outlineLevel="0" collapsed="false"/>
    <row r="61416" customFormat="false" ht="12.75" hidden="false" customHeight="true" outlineLevel="0" collapsed="false"/>
    <row r="61417" customFormat="false" ht="12.75" hidden="false" customHeight="true" outlineLevel="0" collapsed="false"/>
    <row r="61418" customFormat="false" ht="12.75" hidden="false" customHeight="true" outlineLevel="0" collapsed="false"/>
    <row r="61419" customFormat="false" ht="12.75" hidden="false" customHeight="true" outlineLevel="0" collapsed="false"/>
    <row r="61420" customFormat="false" ht="12.75" hidden="false" customHeight="true" outlineLevel="0" collapsed="false"/>
    <row r="61424" customFormat="false" ht="12.75" hidden="false" customHeight="true" outlineLevel="0" collapsed="false"/>
    <row r="61425" customFormat="false" ht="12.75" hidden="false" customHeight="true" outlineLevel="0" collapsed="false"/>
    <row r="61426" customFormat="false" ht="12.75" hidden="false" customHeight="true" outlineLevel="0" collapsed="false"/>
    <row r="61427" customFormat="false" ht="12.75" hidden="false" customHeight="true" outlineLevel="0" collapsed="false"/>
    <row r="61428" customFormat="false" ht="12.75" hidden="false" customHeight="true" outlineLevel="0" collapsed="false"/>
    <row r="61429" customFormat="false" ht="12.75" hidden="false" customHeight="true" outlineLevel="0" collapsed="false"/>
    <row r="61430" customFormat="false" ht="12.75" hidden="false" customHeight="true" outlineLevel="0" collapsed="false"/>
    <row r="61431" customFormat="false" ht="12.75" hidden="false" customHeight="true" outlineLevel="0" collapsed="false"/>
    <row r="61432" customFormat="false" ht="12.75" hidden="false" customHeight="true" outlineLevel="0" collapsed="false"/>
    <row r="61433" customFormat="false" ht="12.75" hidden="false" customHeight="true" outlineLevel="0" collapsed="false"/>
    <row r="61434" customFormat="false" ht="12.75" hidden="false" customHeight="true" outlineLevel="0" collapsed="false"/>
    <row r="61435" customFormat="false" ht="12.75" hidden="false" customHeight="true" outlineLevel="0" collapsed="false"/>
    <row r="61436" customFormat="false" ht="12.75" hidden="false" customHeight="true" outlineLevel="0" collapsed="false"/>
    <row r="61437" customFormat="false" ht="12.75" hidden="false" customHeight="true" outlineLevel="0" collapsed="false"/>
    <row r="61440" customFormat="false" ht="12.75" hidden="false" customHeight="true" outlineLevel="0" collapsed="false"/>
    <row r="61441" customFormat="false" ht="12.75" hidden="false" customHeight="true" outlineLevel="0" collapsed="false"/>
    <row r="61442" customFormat="false" ht="12.75" hidden="false" customHeight="true" outlineLevel="0" collapsed="false"/>
    <row r="61443" customFormat="false" ht="12.75" hidden="false" customHeight="true" outlineLevel="0" collapsed="false"/>
    <row r="61444" customFormat="false" ht="12.75" hidden="false" customHeight="true" outlineLevel="0" collapsed="false"/>
    <row r="61445" customFormat="false" ht="12.75" hidden="false" customHeight="true" outlineLevel="0" collapsed="false"/>
    <row r="61446" customFormat="false" ht="12.75" hidden="false" customHeight="true" outlineLevel="0" collapsed="false"/>
    <row r="61447" customFormat="false" ht="12.75" hidden="false" customHeight="true" outlineLevel="0" collapsed="false"/>
    <row r="61448" customFormat="false" ht="12.75" hidden="false" customHeight="true" outlineLevel="0" collapsed="false"/>
    <row r="61449" customFormat="false" ht="12.75" hidden="false" customHeight="true" outlineLevel="0" collapsed="false"/>
    <row r="61450" customFormat="false" ht="12.75" hidden="false" customHeight="true" outlineLevel="0" collapsed="false"/>
    <row r="61451" customFormat="false" ht="12.75" hidden="false" customHeight="true" outlineLevel="0" collapsed="false"/>
    <row r="61452" customFormat="false" ht="12.75" hidden="false" customHeight="true" outlineLevel="0" collapsed="false"/>
    <row r="61453" customFormat="false" ht="12.75" hidden="false" customHeight="true" outlineLevel="0" collapsed="false"/>
    <row r="61456" customFormat="false" ht="12.75" hidden="false" customHeight="true" outlineLevel="0" collapsed="false"/>
    <row r="61457" customFormat="false" ht="12.75" hidden="false" customHeight="true" outlineLevel="0" collapsed="false"/>
    <row r="61458" customFormat="false" ht="12.75" hidden="false" customHeight="true" outlineLevel="0" collapsed="false"/>
    <row r="61459" customFormat="false" ht="12.75" hidden="false" customHeight="true" outlineLevel="0" collapsed="false"/>
    <row r="61460" customFormat="false" ht="12.75" hidden="false" customHeight="true" outlineLevel="0" collapsed="false"/>
    <row r="61461" customFormat="false" ht="12.75" hidden="false" customHeight="true" outlineLevel="0" collapsed="false"/>
    <row r="61462" customFormat="false" ht="12.75" hidden="false" customHeight="true" outlineLevel="0" collapsed="false"/>
    <row r="61463" customFormat="false" ht="12.75" hidden="false" customHeight="true" outlineLevel="0" collapsed="false"/>
    <row r="61464" customFormat="false" ht="12.75" hidden="false" customHeight="true" outlineLevel="0" collapsed="false"/>
    <row r="61465" customFormat="false" ht="12.75" hidden="false" customHeight="true" outlineLevel="0" collapsed="false"/>
    <row r="61466" customFormat="false" ht="12.75" hidden="false" customHeight="true" outlineLevel="0" collapsed="false"/>
    <row r="61467" customFormat="false" ht="12.75" hidden="false" customHeight="true" outlineLevel="0" collapsed="false"/>
    <row r="61468" customFormat="false" ht="12.75" hidden="false" customHeight="true" outlineLevel="0" collapsed="false"/>
    <row r="61469" customFormat="false" ht="12.75" hidden="false" customHeight="true" outlineLevel="0" collapsed="false"/>
    <row r="61470" customFormat="false" ht="12.75" hidden="false" customHeight="true" outlineLevel="0" collapsed="false"/>
    <row r="61472" customFormat="false" ht="12.75" hidden="false" customHeight="true" outlineLevel="0" collapsed="false"/>
    <row r="61473" customFormat="false" ht="12.75" hidden="false" customHeight="true" outlineLevel="0" collapsed="false"/>
    <row r="61474" customFormat="false" ht="12.75" hidden="false" customHeight="true" outlineLevel="0" collapsed="false"/>
    <row r="61475" customFormat="false" ht="12.75" hidden="false" customHeight="true" outlineLevel="0" collapsed="false"/>
    <row r="61476" customFormat="false" ht="12.75" hidden="false" customHeight="true" outlineLevel="0" collapsed="false"/>
    <row r="61477" customFormat="false" ht="12.75" hidden="false" customHeight="true" outlineLevel="0" collapsed="false"/>
    <row r="61478" customFormat="false" ht="12.75" hidden="false" customHeight="true" outlineLevel="0" collapsed="false"/>
    <row r="61479" customFormat="false" ht="12.75" hidden="false" customHeight="true" outlineLevel="0" collapsed="false"/>
    <row r="61480" customFormat="false" ht="12.75" hidden="false" customHeight="true" outlineLevel="0" collapsed="false"/>
    <row r="61481" customFormat="false" ht="12.75" hidden="false" customHeight="true" outlineLevel="0" collapsed="false"/>
    <row r="61482" customFormat="false" ht="12.75" hidden="false" customHeight="true" outlineLevel="0" collapsed="false"/>
    <row r="61483" customFormat="false" ht="12.75" hidden="false" customHeight="true" outlineLevel="0" collapsed="false"/>
    <row r="61484" customFormat="false" ht="12.75" hidden="false" customHeight="true" outlineLevel="0" collapsed="false"/>
    <row r="61485" customFormat="false" ht="12.75" hidden="false" customHeight="true" outlineLevel="0" collapsed="false"/>
    <row r="61486" customFormat="false" ht="12.75" hidden="false" customHeight="true" outlineLevel="0" collapsed="false"/>
    <row r="61487" customFormat="false" ht="12.75" hidden="false" customHeight="true" outlineLevel="0" collapsed="false"/>
    <row r="61488" customFormat="false" ht="12.75" hidden="false" customHeight="true" outlineLevel="0" collapsed="false"/>
    <row r="61489" customFormat="false" ht="12.75" hidden="false" customHeight="true" outlineLevel="0" collapsed="false"/>
    <row r="61490" customFormat="false" ht="12.75" hidden="false" customHeight="true" outlineLevel="0" collapsed="false"/>
    <row r="61491" customFormat="false" ht="12.75" hidden="false" customHeight="true" outlineLevel="0" collapsed="false"/>
    <row r="61492" customFormat="false" ht="12.75" hidden="false" customHeight="true" outlineLevel="0" collapsed="false"/>
    <row r="61493" customFormat="false" ht="12.75" hidden="false" customHeight="true" outlineLevel="0" collapsed="false"/>
    <row r="61494" customFormat="false" ht="12.75" hidden="false" customHeight="true" outlineLevel="0" collapsed="false"/>
    <row r="61495" customFormat="false" ht="12.75" hidden="false" customHeight="true" outlineLevel="0" collapsed="false"/>
    <row r="61496" customFormat="false" ht="12.75" hidden="false" customHeight="true" outlineLevel="0" collapsed="false"/>
    <row r="61497" customFormat="false" ht="12.75" hidden="false" customHeight="true" outlineLevel="0" collapsed="false"/>
    <row r="61498" customFormat="false" ht="12.75" hidden="false" customHeight="true" outlineLevel="0" collapsed="false"/>
    <row r="61499" customFormat="false" ht="12.75" hidden="false" customHeight="true" outlineLevel="0" collapsed="false"/>
    <row r="61500" customFormat="false" ht="12.75" hidden="false" customHeight="true" outlineLevel="0" collapsed="false"/>
    <row r="61501" customFormat="false" ht="12.75" hidden="false" customHeight="true" outlineLevel="0" collapsed="false"/>
    <row r="61502" customFormat="false" ht="12.75" hidden="false" customHeight="true" outlineLevel="0" collapsed="false"/>
    <row r="61503" customFormat="false" ht="12.75" hidden="false" customHeight="true" outlineLevel="0" collapsed="false"/>
    <row r="61504" customFormat="false" ht="12.75" hidden="false" customHeight="true" outlineLevel="0" collapsed="false"/>
    <row r="61505" customFormat="false" ht="12.75" hidden="false" customHeight="true" outlineLevel="0" collapsed="false"/>
    <row r="61506" customFormat="false" ht="12.75" hidden="false" customHeight="true" outlineLevel="0" collapsed="false"/>
    <row r="61507" customFormat="false" ht="12.75" hidden="false" customHeight="true" outlineLevel="0" collapsed="false"/>
    <row r="61508" customFormat="false" ht="12.75" hidden="false" customHeight="true" outlineLevel="0" collapsed="false"/>
    <row r="61509" customFormat="false" ht="12.75" hidden="false" customHeight="true" outlineLevel="0" collapsed="false"/>
    <row r="61510" customFormat="false" ht="12.75" hidden="false" customHeight="true" outlineLevel="0" collapsed="false"/>
    <row r="61511" customFormat="false" ht="12.75" hidden="false" customHeight="true" outlineLevel="0" collapsed="false"/>
    <row r="61512" customFormat="false" ht="12.75" hidden="false" customHeight="true" outlineLevel="0" collapsed="false"/>
    <row r="61513" customFormat="false" ht="12.75" hidden="false" customHeight="true" outlineLevel="0" collapsed="false"/>
    <row r="61514" customFormat="false" ht="12.75" hidden="false" customHeight="true" outlineLevel="0" collapsed="false"/>
    <row r="61515" customFormat="false" ht="12.75" hidden="false" customHeight="true" outlineLevel="0" collapsed="false"/>
    <row r="61516" customFormat="false" ht="12.75" hidden="false" customHeight="true" outlineLevel="0" collapsed="false"/>
    <row r="61517" customFormat="false" ht="12.75" hidden="false" customHeight="true" outlineLevel="0" collapsed="false"/>
    <row r="61518" customFormat="false" ht="12.75" hidden="false" customHeight="true" outlineLevel="0" collapsed="false"/>
    <row r="61519" customFormat="false" ht="12.75" hidden="false" customHeight="true" outlineLevel="0" collapsed="false"/>
    <row r="61520" customFormat="false" ht="12.75" hidden="false" customHeight="true" outlineLevel="0" collapsed="false"/>
    <row r="61521" customFormat="false" ht="12.75" hidden="false" customHeight="true" outlineLevel="0" collapsed="false"/>
    <row r="61522" customFormat="false" ht="12.75" hidden="false" customHeight="true" outlineLevel="0" collapsed="false"/>
    <row r="61523" customFormat="false" ht="12.75" hidden="false" customHeight="true" outlineLevel="0" collapsed="false"/>
    <row r="61524" customFormat="false" ht="12.75" hidden="false" customHeight="true" outlineLevel="0" collapsed="false"/>
    <row r="61525" customFormat="false" ht="12.75" hidden="false" customHeight="true" outlineLevel="0" collapsed="false"/>
    <row r="61526" customFormat="false" ht="12.75" hidden="false" customHeight="true" outlineLevel="0" collapsed="false"/>
    <row r="61527" customFormat="false" ht="12.75" hidden="false" customHeight="true" outlineLevel="0" collapsed="false"/>
    <row r="61528" customFormat="false" ht="12.75" hidden="false" customHeight="true" outlineLevel="0" collapsed="false"/>
    <row r="61529" customFormat="false" ht="12.75" hidden="false" customHeight="true" outlineLevel="0" collapsed="false"/>
    <row r="61530" customFormat="false" ht="12.75" hidden="false" customHeight="true" outlineLevel="0" collapsed="false"/>
    <row r="61531" customFormat="false" ht="12.75" hidden="false" customHeight="true" outlineLevel="0" collapsed="false"/>
    <row r="61532" customFormat="false" ht="12.75" hidden="false" customHeight="true" outlineLevel="0" collapsed="false"/>
    <row r="61533" customFormat="false" ht="12.75" hidden="false" customHeight="true" outlineLevel="0" collapsed="false"/>
    <row r="61534" customFormat="false" ht="12.75" hidden="false" customHeight="true" outlineLevel="0" collapsed="false"/>
    <row r="61535" customFormat="false" ht="12.75" hidden="false" customHeight="true" outlineLevel="0" collapsed="false"/>
    <row r="61536" customFormat="false" ht="12.75" hidden="false" customHeight="true" outlineLevel="0" collapsed="false"/>
    <row r="61537" customFormat="false" ht="12.75" hidden="false" customHeight="true" outlineLevel="0" collapsed="false"/>
    <row r="61538" customFormat="false" ht="12.75" hidden="false" customHeight="true" outlineLevel="0" collapsed="false"/>
    <row r="61539" customFormat="false" ht="12.75" hidden="false" customHeight="true" outlineLevel="0" collapsed="false"/>
    <row r="61540" customFormat="false" ht="12.75" hidden="false" customHeight="true" outlineLevel="0" collapsed="false"/>
    <row r="61541" customFormat="false" ht="12.75" hidden="false" customHeight="true" outlineLevel="0" collapsed="false"/>
    <row r="61542" customFormat="false" ht="12.75" hidden="false" customHeight="true" outlineLevel="0" collapsed="false"/>
    <row r="61543" customFormat="false" ht="12.75" hidden="false" customHeight="true" outlineLevel="0" collapsed="false"/>
    <row r="61544" customFormat="false" ht="12.75" hidden="false" customHeight="true" outlineLevel="0" collapsed="false"/>
    <row r="61545" customFormat="false" ht="12.75" hidden="false" customHeight="true" outlineLevel="0" collapsed="false"/>
    <row r="61546" customFormat="false" ht="12.75" hidden="false" customHeight="true" outlineLevel="0" collapsed="false"/>
    <row r="61547" customFormat="false" ht="12.75" hidden="false" customHeight="true" outlineLevel="0" collapsed="false"/>
    <row r="61548" customFormat="false" ht="12.75" hidden="false" customHeight="true" outlineLevel="0" collapsed="false"/>
    <row r="61549" customFormat="false" ht="12.75" hidden="false" customHeight="true" outlineLevel="0" collapsed="false"/>
    <row r="61550" customFormat="false" ht="12.75" hidden="false" customHeight="true" outlineLevel="0" collapsed="false"/>
    <row r="61551" customFormat="false" ht="12.75" hidden="false" customHeight="true" outlineLevel="0" collapsed="false"/>
    <row r="61552" customFormat="false" ht="12.75" hidden="false" customHeight="true" outlineLevel="0" collapsed="false"/>
    <row r="61553" customFormat="false" ht="12.75" hidden="false" customHeight="true" outlineLevel="0" collapsed="false"/>
    <row r="61554" customFormat="false" ht="12.75" hidden="false" customHeight="true" outlineLevel="0" collapsed="false"/>
    <row r="61555" customFormat="false" ht="12.75" hidden="false" customHeight="true" outlineLevel="0" collapsed="false"/>
    <row r="61556" customFormat="false" ht="12.75" hidden="false" customHeight="true" outlineLevel="0" collapsed="false"/>
    <row r="61557" customFormat="false" ht="12.75" hidden="false" customHeight="true" outlineLevel="0" collapsed="false"/>
    <row r="61558" customFormat="false" ht="12.75" hidden="false" customHeight="true" outlineLevel="0" collapsed="false"/>
    <row r="61559" customFormat="false" ht="12.75" hidden="false" customHeight="true" outlineLevel="0" collapsed="false"/>
    <row r="61560" customFormat="false" ht="12.75" hidden="false" customHeight="true" outlineLevel="0" collapsed="false"/>
    <row r="61561" customFormat="false" ht="12.75" hidden="false" customHeight="true" outlineLevel="0" collapsed="false"/>
    <row r="61562" customFormat="false" ht="12.75" hidden="false" customHeight="true" outlineLevel="0" collapsed="false"/>
    <row r="61563" customFormat="false" ht="12.75" hidden="false" customHeight="true" outlineLevel="0" collapsed="false"/>
    <row r="61564" customFormat="false" ht="12.75" hidden="false" customHeight="true" outlineLevel="0" collapsed="false"/>
    <row r="61565" customFormat="false" ht="12.75" hidden="false" customHeight="true" outlineLevel="0" collapsed="false"/>
    <row r="61566" customFormat="false" ht="12.75" hidden="false" customHeight="true" outlineLevel="0" collapsed="false"/>
    <row r="61567" customFormat="false" ht="12.75" hidden="false" customHeight="true" outlineLevel="0" collapsed="false"/>
    <row r="61568" customFormat="false" ht="12.75" hidden="false" customHeight="true" outlineLevel="0" collapsed="false"/>
    <row r="61569" customFormat="false" ht="12.75" hidden="false" customHeight="true" outlineLevel="0" collapsed="false"/>
    <row r="61570" customFormat="false" ht="12.75" hidden="false" customHeight="true" outlineLevel="0" collapsed="false"/>
    <row r="61571" customFormat="false" ht="12.75" hidden="false" customHeight="true" outlineLevel="0" collapsed="false"/>
    <row r="61572" customFormat="false" ht="12.75" hidden="false" customHeight="true" outlineLevel="0" collapsed="false"/>
    <row r="61573" customFormat="false" ht="12.75" hidden="false" customHeight="true" outlineLevel="0" collapsed="false"/>
    <row r="61574" customFormat="false" ht="12.75" hidden="false" customHeight="true" outlineLevel="0" collapsed="false"/>
    <row r="61575" customFormat="false" ht="12.75" hidden="false" customHeight="true" outlineLevel="0" collapsed="false"/>
    <row r="61576" customFormat="false" ht="12.75" hidden="false" customHeight="true" outlineLevel="0" collapsed="false"/>
    <row r="61577" customFormat="false" ht="12.75" hidden="false" customHeight="true" outlineLevel="0" collapsed="false"/>
    <row r="61578" customFormat="false" ht="12.75" hidden="false" customHeight="true" outlineLevel="0" collapsed="false"/>
    <row r="61579" customFormat="false" ht="12.75" hidden="false" customHeight="true" outlineLevel="0" collapsed="false"/>
    <row r="61580" customFormat="false" ht="12.75" hidden="false" customHeight="true" outlineLevel="0" collapsed="false"/>
    <row r="61581" customFormat="false" ht="12.75" hidden="false" customHeight="true" outlineLevel="0" collapsed="false"/>
    <row r="61582" customFormat="false" ht="12.75" hidden="false" customHeight="true" outlineLevel="0" collapsed="false"/>
    <row r="61583" customFormat="false" ht="12.75" hidden="false" customHeight="true" outlineLevel="0" collapsed="false"/>
    <row r="61584" customFormat="false" ht="12.75" hidden="false" customHeight="true" outlineLevel="0" collapsed="false"/>
    <row r="61585" customFormat="false" ht="12.75" hidden="false" customHeight="true" outlineLevel="0" collapsed="false"/>
    <row r="61586" customFormat="false" ht="12.75" hidden="false" customHeight="true" outlineLevel="0" collapsed="false"/>
    <row r="61587" customFormat="false" ht="12.75" hidden="false" customHeight="true" outlineLevel="0" collapsed="false"/>
    <row r="61588" customFormat="false" ht="12.75" hidden="false" customHeight="true" outlineLevel="0" collapsed="false"/>
    <row r="61589" customFormat="false" ht="12.75" hidden="false" customHeight="true" outlineLevel="0" collapsed="false"/>
    <row r="61590" customFormat="false" ht="12.75" hidden="false" customHeight="true" outlineLevel="0" collapsed="false"/>
    <row r="61591" customFormat="false" ht="12.75" hidden="false" customHeight="true" outlineLevel="0" collapsed="false"/>
    <row r="61592" customFormat="false" ht="12.75" hidden="false" customHeight="true" outlineLevel="0" collapsed="false"/>
    <row r="61593" customFormat="false" ht="12.75" hidden="false" customHeight="true" outlineLevel="0" collapsed="false"/>
    <row r="61594" customFormat="false" ht="12.75" hidden="false" customHeight="true" outlineLevel="0" collapsed="false"/>
    <row r="61595" customFormat="false" ht="12.75" hidden="false" customHeight="true" outlineLevel="0" collapsed="false"/>
    <row r="61596" customFormat="false" ht="12.75" hidden="false" customHeight="true" outlineLevel="0" collapsed="false"/>
    <row r="61597" customFormat="false" ht="12.75" hidden="false" customHeight="true" outlineLevel="0" collapsed="false"/>
    <row r="61598" customFormat="false" ht="12.75" hidden="false" customHeight="true" outlineLevel="0" collapsed="false"/>
    <row r="61599" customFormat="false" ht="12.75" hidden="false" customHeight="true" outlineLevel="0" collapsed="false"/>
    <row r="61600" customFormat="false" ht="12.75" hidden="false" customHeight="true" outlineLevel="0" collapsed="false"/>
    <row r="61601" customFormat="false" ht="12.75" hidden="false" customHeight="true" outlineLevel="0" collapsed="false"/>
    <row r="61602" customFormat="false" ht="12.75" hidden="false" customHeight="true" outlineLevel="0" collapsed="false"/>
    <row r="61603" customFormat="false" ht="12.75" hidden="false" customHeight="true" outlineLevel="0" collapsed="false"/>
    <row r="61604" customFormat="false" ht="12.75" hidden="false" customHeight="true" outlineLevel="0" collapsed="false"/>
    <row r="61605" customFormat="false" ht="12.75" hidden="false" customHeight="true" outlineLevel="0" collapsed="false"/>
    <row r="61606" customFormat="false" ht="12.75" hidden="false" customHeight="true" outlineLevel="0" collapsed="false"/>
    <row r="61607" customFormat="false" ht="12.75" hidden="false" customHeight="true" outlineLevel="0" collapsed="false"/>
    <row r="61608" customFormat="false" ht="12.75" hidden="false" customHeight="true" outlineLevel="0" collapsed="false"/>
    <row r="61609" customFormat="false" ht="12.75" hidden="false" customHeight="true" outlineLevel="0" collapsed="false"/>
    <row r="61610" customFormat="false" ht="12.75" hidden="false" customHeight="true" outlineLevel="0" collapsed="false"/>
    <row r="61611" customFormat="false" ht="12.75" hidden="false" customHeight="true" outlineLevel="0" collapsed="false"/>
    <row r="61612" customFormat="false" ht="12.75" hidden="false" customHeight="true" outlineLevel="0" collapsed="false"/>
    <row r="61613" customFormat="false" ht="12.75" hidden="false" customHeight="true" outlineLevel="0" collapsed="false"/>
    <row r="61614" customFormat="false" ht="12.75" hidden="false" customHeight="true" outlineLevel="0" collapsed="false"/>
    <row r="61615" customFormat="false" ht="12.75" hidden="false" customHeight="true" outlineLevel="0" collapsed="false"/>
    <row r="61616" customFormat="false" ht="12.75" hidden="false" customHeight="true" outlineLevel="0" collapsed="false"/>
    <row r="61617" customFormat="false" ht="12.75" hidden="false" customHeight="true" outlineLevel="0" collapsed="false"/>
    <row r="61618" customFormat="false" ht="12.75" hidden="false" customHeight="true" outlineLevel="0" collapsed="false"/>
    <row r="61619" customFormat="false" ht="12.75" hidden="false" customHeight="true" outlineLevel="0" collapsed="false"/>
    <row r="61620" customFormat="false" ht="12.75" hidden="false" customHeight="true" outlineLevel="0" collapsed="false"/>
    <row r="61621" customFormat="false" ht="12.75" hidden="false" customHeight="true" outlineLevel="0" collapsed="false"/>
    <row r="61622" customFormat="false" ht="12.75" hidden="false" customHeight="true" outlineLevel="0" collapsed="false"/>
    <row r="61623" customFormat="false" ht="12.75" hidden="false" customHeight="true" outlineLevel="0" collapsed="false"/>
    <row r="61624" customFormat="false" ht="12.75" hidden="false" customHeight="true" outlineLevel="0" collapsed="false"/>
    <row r="61625" customFormat="false" ht="12.75" hidden="false" customHeight="true" outlineLevel="0" collapsed="false"/>
    <row r="61626" customFormat="false" ht="12.75" hidden="false" customHeight="true" outlineLevel="0" collapsed="false"/>
    <row r="61627" customFormat="false" ht="12.75" hidden="false" customHeight="true" outlineLevel="0" collapsed="false"/>
    <row r="61628" customFormat="false" ht="12.75" hidden="false" customHeight="true" outlineLevel="0" collapsed="false"/>
    <row r="61629" customFormat="false" ht="12.75" hidden="false" customHeight="true" outlineLevel="0" collapsed="false"/>
    <row r="61630" customFormat="false" ht="12.75" hidden="false" customHeight="true" outlineLevel="0" collapsed="false"/>
    <row r="61631" customFormat="false" ht="12.75" hidden="false" customHeight="true" outlineLevel="0" collapsed="false"/>
    <row r="61632" customFormat="false" ht="12.75" hidden="false" customHeight="true" outlineLevel="0" collapsed="false"/>
    <row r="61633" customFormat="false" ht="12.75" hidden="false" customHeight="true" outlineLevel="0" collapsed="false"/>
    <row r="61634" customFormat="false" ht="12.75" hidden="false" customHeight="true" outlineLevel="0" collapsed="false"/>
    <row r="61635" customFormat="false" ht="12.75" hidden="false" customHeight="true" outlineLevel="0" collapsed="false"/>
    <row r="61636" customFormat="false" ht="12.75" hidden="false" customHeight="true" outlineLevel="0" collapsed="false"/>
    <row r="61637" customFormat="false" ht="12.75" hidden="false" customHeight="true" outlineLevel="0" collapsed="false"/>
    <row r="61638" customFormat="false" ht="12.75" hidden="false" customHeight="true" outlineLevel="0" collapsed="false"/>
    <row r="61639" customFormat="false" ht="12.75" hidden="false" customHeight="true" outlineLevel="0" collapsed="false"/>
    <row r="61640" customFormat="false" ht="12.75" hidden="false" customHeight="true" outlineLevel="0" collapsed="false"/>
    <row r="61641" customFormat="false" ht="12.75" hidden="false" customHeight="true" outlineLevel="0" collapsed="false"/>
    <row r="61642" customFormat="false" ht="12.75" hidden="false" customHeight="true" outlineLevel="0" collapsed="false"/>
    <row r="61643" customFormat="false" ht="12.75" hidden="false" customHeight="true" outlineLevel="0" collapsed="false"/>
    <row r="61644" customFormat="false" ht="12.75" hidden="false" customHeight="true" outlineLevel="0" collapsed="false"/>
    <row r="61645" customFormat="false" ht="12.75" hidden="false" customHeight="true" outlineLevel="0" collapsed="false"/>
    <row r="61646" customFormat="false" ht="12.75" hidden="false" customHeight="true" outlineLevel="0" collapsed="false"/>
    <row r="61647" customFormat="false" ht="12.75" hidden="false" customHeight="true" outlineLevel="0" collapsed="false"/>
    <row r="61648" customFormat="false" ht="12.75" hidden="false" customHeight="true" outlineLevel="0" collapsed="false"/>
    <row r="61649" customFormat="false" ht="12.75" hidden="false" customHeight="true" outlineLevel="0" collapsed="false"/>
    <row r="61650" customFormat="false" ht="12.75" hidden="false" customHeight="true" outlineLevel="0" collapsed="false"/>
    <row r="61651" customFormat="false" ht="12.75" hidden="false" customHeight="true" outlineLevel="0" collapsed="false"/>
    <row r="61652" customFormat="false" ht="12.75" hidden="false" customHeight="true" outlineLevel="0" collapsed="false"/>
    <row r="61653" customFormat="false" ht="12.75" hidden="false" customHeight="true" outlineLevel="0" collapsed="false"/>
    <row r="61654" customFormat="false" ht="12.75" hidden="false" customHeight="true" outlineLevel="0" collapsed="false"/>
    <row r="61655" customFormat="false" ht="12.75" hidden="false" customHeight="true" outlineLevel="0" collapsed="false"/>
    <row r="61656" customFormat="false" ht="12.75" hidden="false" customHeight="true" outlineLevel="0" collapsed="false"/>
    <row r="61657" customFormat="false" ht="12.75" hidden="false" customHeight="true" outlineLevel="0" collapsed="false"/>
    <row r="61658" customFormat="false" ht="12.75" hidden="false" customHeight="true" outlineLevel="0" collapsed="false"/>
    <row r="61659" customFormat="false" ht="12.75" hidden="false" customHeight="true" outlineLevel="0" collapsed="false"/>
    <row r="61660" customFormat="false" ht="12.75" hidden="false" customHeight="true" outlineLevel="0" collapsed="false"/>
    <row r="61661" customFormat="false" ht="12.75" hidden="false" customHeight="true" outlineLevel="0" collapsed="false"/>
    <row r="61662" customFormat="false" ht="12.75" hidden="false" customHeight="true" outlineLevel="0" collapsed="false"/>
    <row r="61663" customFormat="false" ht="12.75" hidden="false" customHeight="true" outlineLevel="0" collapsed="false"/>
    <row r="61664" customFormat="false" ht="12.75" hidden="false" customHeight="true" outlineLevel="0" collapsed="false"/>
    <row r="61665" customFormat="false" ht="12.75" hidden="false" customHeight="true" outlineLevel="0" collapsed="false"/>
    <row r="61666" customFormat="false" ht="12.75" hidden="false" customHeight="true" outlineLevel="0" collapsed="false"/>
    <row r="61667" customFormat="false" ht="12.75" hidden="false" customHeight="true" outlineLevel="0" collapsed="false"/>
    <row r="61668" customFormat="false" ht="12.75" hidden="false" customHeight="true" outlineLevel="0" collapsed="false"/>
    <row r="61669" customFormat="false" ht="12.75" hidden="false" customHeight="true" outlineLevel="0" collapsed="false"/>
    <row r="61670" customFormat="false" ht="12.75" hidden="false" customHeight="true" outlineLevel="0" collapsed="false"/>
    <row r="61671" customFormat="false" ht="12.75" hidden="false" customHeight="true" outlineLevel="0" collapsed="false"/>
    <row r="61672" customFormat="false" ht="12.75" hidden="false" customHeight="true" outlineLevel="0" collapsed="false"/>
    <row r="61673" customFormat="false" ht="12.75" hidden="false" customHeight="true" outlineLevel="0" collapsed="false"/>
    <row r="61674" customFormat="false" ht="12.75" hidden="false" customHeight="true" outlineLevel="0" collapsed="false"/>
    <row r="61675" customFormat="false" ht="12.75" hidden="false" customHeight="true" outlineLevel="0" collapsed="false"/>
    <row r="61676" customFormat="false" ht="12.75" hidden="false" customHeight="true" outlineLevel="0" collapsed="false"/>
    <row r="61677" customFormat="false" ht="12.75" hidden="false" customHeight="true" outlineLevel="0" collapsed="false"/>
    <row r="61678" customFormat="false" ht="12.75" hidden="false" customHeight="true" outlineLevel="0" collapsed="false"/>
    <row r="61679" customFormat="false" ht="12.75" hidden="false" customHeight="true" outlineLevel="0" collapsed="false"/>
    <row r="61680" customFormat="false" ht="12.75" hidden="false" customHeight="true" outlineLevel="0" collapsed="false"/>
    <row r="61681" customFormat="false" ht="12.75" hidden="false" customHeight="true" outlineLevel="0" collapsed="false"/>
    <row r="61682" customFormat="false" ht="12.75" hidden="false" customHeight="true" outlineLevel="0" collapsed="false"/>
    <row r="61683" customFormat="false" ht="12.75" hidden="false" customHeight="true" outlineLevel="0" collapsed="false"/>
    <row r="61684" customFormat="false" ht="12.75" hidden="false" customHeight="true" outlineLevel="0" collapsed="false"/>
    <row r="61685" customFormat="false" ht="12.75" hidden="false" customHeight="true" outlineLevel="0" collapsed="false"/>
    <row r="61686" customFormat="false" ht="12.75" hidden="false" customHeight="true" outlineLevel="0" collapsed="false"/>
    <row r="61687" customFormat="false" ht="12.75" hidden="false" customHeight="true" outlineLevel="0" collapsed="false"/>
    <row r="61688" customFormat="false" ht="12.75" hidden="false" customHeight="true" outlineLevel="0" collapsed="false"/>
    <row r="61689" customFormat="false" ht="12.75" hidden="false" customHeight="true" outlineLevel="0" collapsed="false"/>
    <row r="61690" customFormat="false" ht="12.75" hidden="false" customHeight="true" outlineLevel="0" collapsed="false"/>
    <row r="61691" customFormat="false" ht="12.75" hidden="false" customHeight="true" outlineLevel="0" collapsed="false"/>
    <row r="61692" customFormat="false" ht="12.75" hidden="false" customHeight="true" outlineLevel="0" collapsed="false"/>
    <row r="61693" customFormat="false" ht="12.75" hidden="false" customHeight="true" outlineLevel="0" collapsed="false"/>
    <row r="61694" customFormat="false" ht="12.75" hidden="false" customHeight="true" outlineLevel="0" collapsed="false"/>
    <row r="61695" customFormat="false" ht="12.75" hidden="false" customHeight="true" outlineLevel="0" collapsed="false"/>
    <row r="61696" customFormat="false" ht="12.75" hidden="false" customHeight="true" outlineLevel="0" collapsed="false"/>
    <row r="61697" customFormat="false" ht="12.75" hidden="false" customHeight="true" outlineLevel="0" collapsed="false"/>
    <row r="61698" customFormat="false" ht="12.75" hidden="false" customHeight="true" outlineLevel="0" collapsed="false"/>
    <row r="61699" customFormat="false" ht="12.75" hidden="false" customHeight="true" outlineLevel="0" collapsed="false"/>
    <row r="61700" customFormat="false" ht="12.75" hidden="false" customHeight="true" outlineLevel="0" collapsed="false"/>
    <row r="61701" customFormat="false" ht="12.75" hidden="false" customHeight="true" outlineLevel="0" collapsed="false"/>
    <row r="61702" customFormat="false" ht="12.75" hidden="false" customHeight="true" outlineLevel="0" collapsed="false"/>
    <row r="61703" customFormat="false" ht="12.75" hidden="false" customHeight="true" outlineLevel="0" collapsed="false"/>
    <row r="61704" customFormat="false" ht="12.75" hidden="false" customHeight="true" outlineLevel="0" collapsed="false"/>
    <row r="61705" customFormat="false" ht="12.75" hidden="false" customHeight="true" outlineLevel="0" collapsed="false"/>
    <row r="61706" customFormat="false" ht="12.75" hidden="false" customHeight="true" outlineLevel="0" collapsed="false"/>
    <row r="61707" customFormat="false" ht="12.75" hidden="false" customHeight="true" outlineLevel="0" collapsed="false"/>
    <row r="61708" customFormat="false" ht="12.75" hidden="false" customHeight="true" outlineLevel="0" collapsed="false"/>
    <row r="61709" customFormat="false" ht="12.75" hidden="false" customHeight="true" outlineLevel="0" collapsed="false"/>
    <row r="61710" customFormat="false" ht="12.75" hidden="false" customHeight="true" outlineLevel="0" collapsed="false"/>
    <row r="61711" customFormat="false" ht="12.75" hidden="false" customHeight="true" outlineLevel="0" collapsed="false"/>
    <row r="61712" customFormat="false" ht="12.75" hidden="false" customHeight="true" outlineLevel="0" collapsed="false"/>
    <row r="61713" customFormat="false" ht="12.75" hidden="false" customHeight="true" outlineLevel="0" collapsed="false"/>
    <row r="61714" customFormat="false" ht="12.75" hidden="false" customHeight="true" outlineLevel="0" collapsed="false"/>
    <row r="61715" customFormat="false" ht="12.75" hidden="false" customHeight="true" outlineLevel="0" collapsed="false"/>
    <row r="61716" customFormat="false" ht="12.75" hidden="false" customHeight="true" outlineLevel="0" collapsed="false"/>
    <row r="61717" customFormat="false" ht="12.75" hidden="false" customHeight="true" outlineLevel="0" collapsed="false"/>
    <row r="61718" customFormat="false" ht="12.75" hidden="false" customHeight="true" outlineLevel="0" collapsed="false"/>
    <row r="61719" customFormat="false" ht="12.75" hidden="false" customHeight="true" outlineLevel="0" collapsed="false"/>
    <row r="61720" customFormat="false" ht="12.75" hidden="false" customHeight="true" outlineLevel="0" collapsed="false"/>
    <row r="61721" customFormat="false" ht="12.75" hidden="false" customHeight="true" outlineLevel="0" collapsed="false"/>
    <row r="61722" customFormat="false" ht="12.75" hidden="false" customHeight="true" outlineLevel="0" collapsed="false"/>
    <row r="61723" customFormat="false" ht="12.75" hidden="false" customHeight="true" outlineLevel="0" collapsed="false"/>
    <row r="61724" customFormat="false" ht="12.75" hidden="false" customHeight="true" outlineLevel="0" collapsed="false"/>
    <row r="61725" customFormat="false" ht="12.75" hidden="false" customHeight="true" outlineLevel="0" collapsed="false"/>
    <row r="61726" customFormat="false" ht="12.75" hidden="false" customHeight="true" outlineLevel="0" collapsed="false"/>
    <row r="61727" customFormat="false" ht="12.75" hidden="false" customHeight="true" outlineLevel="0" collapsed="false"/>
    <row r="61728" customFormat="false" ht="12.75" hidden="false" customHeight="true" outlineLevel="0" collapsed="false"/>
    <row r="61729" customFormat="false" ht="12.75" hidden="false" customHeight="true" outlineLevel="0" collapsed="false"/>
    <row r="61730" customFormat="false" ht="12.75" hidden="false" customHeight="true" outlineLevel="0" collapsed="false"/>
    <row r="61731" customFormat="false" ht="12.75" hidden="false" customHeight="true" outlineLevel="0" collapsed="false"/>
    <row r="61732" customFormat="false" ht="12.75" hidden="false" customHeight="true" outlineLevel="0" collapsed="false"/>
    <row r="61733" customFormat="false" ht="12.75" hidden="false" customHeight="true" outlineLevel="0" collapsed="false"/>
    <row r="61734" customFormat="false" ht="12.75" hidden="false" customHeight="true" outlineLevel="0" collapsed="false"/>
    <row r="61735" customFormat="false" ht="12.75" hidden="false" customHeight="true" outlineLevel="0" collapsed="false"/>
    <row r="61736" customFormat="false" ht="12.75" hidden="false" customHeight="true" outlineLevel="0" collapsed="false"/>
    <row r="61737" customFormat="false" ht="12.75" hidden="false" customHeight="true" outlineLevel="0" collapsed="false"/>
    <row r="61738" customFormat="false" ht="12.75" hidden="false" customHeight="true" outlineLevel="0" collapsed="false"/>
    <row r="61739" customFormat="false" ht="12.75" hidden="false" customHeight="true" outlineLevel="0" collapsed="false"/>
    <row r="61740" customFormat="false" ht="12.75" hidden="false" customHeight="true" outlineLevel="0" collapsed="false"/>
    <row r="61741" customFormat="false" ht="12.75" hidden="false" customHeight="true" outlineLevel="0" collapsed="false"/>
    <row r="61742" customFormat="false" ht="12.75" hidden="false" customHeight="true" outlineLevel="0" collapsed="false"/>
    <row r="61743" customFormat="false" ht="12.75" hidden="false" customHeight="true" outlineLevel="0" collapsed="false"/>
    <row r="61744" customFormat="false" ht="12.75" hidden="false" customHeight="true" outlineLevel="0" collapsed="false"/>
    <row r="61745" customFormat="false" ht="12.75" hidden="false" customHeight="true" outlineLevel="0" collapsed="false"/>
    <row r="61746" customFormat="false" ht="12.75" hidden="false" customHeight="true" outlineLevel="0" collapsed="false"/>
    <row r="61747" customFormat="false" ht="12.75" hidden="false" customHeight="true" outlineLevel="0" collapsed="false"/>
    <row r="61748" customFormat="false" ht="12.75" hidden="false" customHeight="true" outlineLevel="0" collapsed="false"/>
    <row r="61749" customFormat="false" ht="12.75" hidden="false" customHeight="true" outlineLevel="0" collapsed="false"/>
    <row r="61750" customFormat="false" ht="12.75" hidden="false" customHeight="true" outlineLevel="0" collapsed="false"/>
    <row r="61751" customFormat="false" ht="12.75" hidden="false" customHeight="true" outlineLevel="0" collapsed="false"/>
    <row r="61752" customFormat="false" ht="12.75" hidden="false" customHeight="true" outlineLevel="0" collapsed="false"/>
    <row r="61753" customFormat="false" ht="12.75" hidden="false" customHeight="true" outlineLevel="0" collapsed="false"/>
    <row r="61754" customFormat="false" ht="12.75" hidden="false" customHeight="true" outlineLevel="0" collapsed="false"/>
    <row r="61755" customFormat="false" ht="12.75" hidden="false" customHeight="true" outlineLevel="0" collapsed="false"/>
    <row r="61756" customFormat="false" ht="12.75" hidden="false" customHeight="true" outlineLevel="0" collapsed="false"/>
    <row r="61757" customFormat="false" ht="12.75" hidden="false" customHeight="true" outlineLevel="0" collapsed="false"/>
    <row r="61758" customFormat="false" ht="12.75" hidden="false" customHeight="true" outlineLevel="0" collapsed="false"/>
    <row r="61759" customFormat="false" ht="12.75" hidden="false" customHeight="true" outlineLevel="0" collapsed="false"/>
    <row r="61760" customFormat="false" ht="12.75" hidden="false" customHeight="true" outlineLevel="0" collapsed="false"/>
    <row r="61761" customFormat="false" ht="12.75" hidden="false" customHeight="true" outlineLevel="0" collapsed="false"/>
    <row r="61762" customFormat="false" ht="12.75" hidden="false" customHeight="true" outlineLevel="0" collapsed="false"/>
    <row r="61763" customFormat="false" ht="12.75" hidden="false" customHeight="true" outlineLevel="0" collapsed="false"/>
    <row r="61764" customFormat="false" ht="12.75" hidden="false" customHeight="true" outlineLevel="0" collapsed="false"/>
    <row r="61765" customFormat="false" ht="12.75" hidden="false" customHeight="true" outlineLevel="0" collapsed="false"/>
    <row r="61766" customFormat="false" ht="12.75" hidden="false" customHeight="true" outlineLevel="0" collapsed="false"/>
    <row r="61767" customFormat="false" ht="12.75" hidden="false" customHeight="true" outlineLevel="0" collapsed="false"/>
    <row r="61768" customFormat="false" ht="12.75" hidden="false" customHeight="true" outlineLevel="0" collapsed="false"/>
    <row r="61769" customFormat="false" ht="12.75" hidden="false" customHeight="true" outlineLevel="0" collapsed="false"/>
    <row r="61770" customFormat="false" ht="12.75" hidden="false" customHeight="true" outlineLevel="0" collapsed="false"/>
    <row r="61771" customFormat="false" ht="12.75" hidden="false" customHeight="true" outlineLevel="0" collapsed="false"/>
    <row r="61772" customFormat="false" ht="12.75" hidden="false" customHeight="true" outlineLevel="0" collapsed="false"/>
    <row r="61773" customFormat="false" ht="12.75" hidden="false" customHeight="true" outlineLevel="0" collapsed="false"/>
    <row r="61774" customFormat="false" ht="12.75" hidden="false" customHeight="true" outlineLevel="0" collapsed="false"/>
    <row r="61775" customFormat="false" ht="12.75" hidden="false" customHeight="true" outlineLevel="0" collapsed="false"/>
    <row r="61776" customFormat="false" ht="12.75" hidden="false" customHeight="true" outlineLevel="0" collapsed="false"/>
    <row r="61777" customFormat="false" ht="12.75" hidden="false" customHeight="true" outlineLevel="0" collapsed="false"/>
    <row r="61778" customFormat="false" ht="12.75" hidden="false" customHeight="true" outlineLevel="0" collapsed="false"/>
    <row r="61779" customFormat="false" ht="12.75" hidden="false" customHeight="true" outlineLevel="0" collapsed="false"/>
    <row r="61780" customFormat="false" ht="12.75" hidden="false" customHeight="true" outlineLevel="0" collapsed="false"/>
    <row r="61781" customFormat="false" ht="12.75" hidden="false" customHeight="true" outlineLevel="0" collapsed="false"/>
    <row r="61782" customFormat="false" ht="12.75" hidden="false" customHeight="true" outlineLevel="0" collapsed="false"/>
    <row r="61783" customFormat="false" ht="12.75" hidden="false" customHeight="true" outlineLevel="0" collapsed="false"/>
    <row r="61784" customFormat="false" ht="12.75" hidden="false" customHeight="true" outlineLevel="0" collapsed="false"/>
    <row r="61785" customFormat="false" ht="12.75" hidden="false" customHeight="true" outlineLevel="0" collapsed="false"/>
    <row r="61786" customFormat="false" ht="12.75" hidden="false" customHeight="true" outlineLevel="0" collapsed="false"/>
    <row r="61787" customFormat="false" ht="12.75" hidden="false" customHeight="true" outlineLevel="0" collapsed="false"/>
    <row r="61788" customFormat="false" ht="12.75" hidden="false" customHeight="true" outlineLevel="0" collapsed="false"/>
    <row r="61789" customFormat="false" ht="12.75" hidden="false" customHeight="true" outlineLevel="0" collapsed="false"/>
    <row r="61790" customFormat="false" ht="12.75" hidden="false" customHeight="true" outlineLevel="0" collapsed="false"/>
    <row r="61791" customFormat="false" ht="12.75" hidden="false" customHeight="true" outlineLevel="0" collapsed="false"/>
    <row r="61792" customFormat="false" ht="12.75" hidden="false" customHeight="true" outlineLevel="0" collapsed="false"/>
    <row r="61793" customFormat="false" ht="12.75" hidden="false" customHeight="true" outlineLevel="0" collapsed="false"/>
    <row r="61794" customFormat="false" ht="12.75" hidden="false" customHeight="true" outlineLevel="0" collapsed="false"/>
    <row r="61795" customFormat="false" ht="12.75" hidden="false" customHeight="true" outlineLevel="0" collapsed="false"/>
    <row r="61796" customFormat="false" ht="12.75" hidden="false" customHeight="true" outlineLevel="0" collapsed="false"/>
    <row r="61797" customFormat="false" ht="12.75" hidden="false" customHeight="true" outlineLevel="0" collapsed="false"/>
    <row r="61798" customFormat="false" ht="12.75" hidden="false" customHeight="true" outlineLevel="0" collapsed="false"/>
    <row r="61799" customFormat="false" ht="12.75" hidden="false" customHeight="true" outlineLevel="0" collapsed="false"/>
    <row r="61800" customFormat="false" ht="12.75" hidden="false" customHeight="true" outlineLevel="0" collapsed="false"/>
    <row r="61801" customFormat="false" ht="12.75" hidden="false" customHeight="true" outlineLevel="0" collapsed="false"/>
    <row r="61802" customFormat="false" ht="12.75" hidden="false" customHeight="true" outlineLevel="0" collapsed="false"/>
    <row r="61803" customFormat="false" ht="12.75" hidden="false" customHeight="true" outlineLevel="0" collapsed="false"/>
    <row r="61804" customFormat="false" ht="12.75" hidden="false" customHeight="true" outlineLevel="0" collapsed="false"/>
    <row r="61805" customFormat="false" ht="12.75" hidden="false" customHeight="true" outlineLevel="0" collapsed="false"/>
    <row r="61806" customFormat="false" ht="12.75" hidden="false" customHeight="true" outlineLevel="0" collapsed="false"/>
    <row r="61807" customFormat="false" ht="12.75" hidden="false" customHeight="true" outlineLevel="0" collapsed="false"/>
    <row r="61808" customFormat="false" ht="12.75" hidden="false" customHeight="true" outlineLevel="0" collapsed="false"/>
    <row r="61809" customFormat="false" ht="12.75" hidden="false" customHeight="true" outlineLevel="0" collapsed="false"/>
    <row r="61810" customFormat="false" ht="12.75" hidden="false" customHeight="true" outlineLevel="0" collapsed="false"/>
    <row r="61811" customFormat="false" ht="12.75" hidden="false" customHeight="true" outlineLevel="0" collapsed="false"/>
    <row r="61812" customFormat="false" ht="12.75" hidden="false" customHeight="true" outlineLevel="0" collapsed="false"/>
    <row r="61813" customFormat="false" ht="12.75" hidden="false" customHeight="true" outlineLevel="0" collapsed="false"/>
    <row r="61814" customFormat="false" ht="12.75" hidden="false" customHeight="true" outlineLevel="0" collapsed="false"/>
    <row r="61815" customFormat="false" ht="12.75" hidden="false" customHeight="true" outlineLevel="0" collapsed="false"/>
    <row r="61816" customFormat="false" ht="12.75" hidden="false" customHeight="true" outlineLevel="0" collapsed="false"/>
    <row r="61817" customFormat="false" ht="12.75" hidden="false" customHeight="true" outlineLevel="0" collapsed="false"/>
    <row r="61818" customFormat="false" ht="12.75" hidden="false" customHeight="true" outlineLevel="0" collapsed="false"/>
    <row r="61819" customFormat="false" ht="12.75" hidden="false" customHeight="true" outlineLevel="0" collapsed="false"/>
    <row r="61820" customFormat="false" ht="12.75" hidden="false" customHeight="true" outlineLevel="0" collapsed="false"/>
    <row r="61821" customFormat="false" ht="12.75" hidden="false" customHeight="true" outlineLevel="0" collapsed="false"/>
    <row r="61822" customFormat="false" ht="12.75" hidden="false" customHeight="true" outlineLevel="0" collapsed="false"/>
    <row r="61823" customFormat="false" ht="12.75" hidden="false" customHeight="true" outlineLevel="0" collapsed="false"/>
    <row r="61824" customFormat="false" ht="12.75" hidden="false" customHeight="true" outlineLevel="0" collapsed="false"/>
    <row r="61825" customFormat="false" ht="12.75" hidden="false" customHeight="true" outlineLevel="0" collapsed="false"/>
    <row r="61826" customFormat="false" ht="12.75" hidden="false" customHeight="true" outlineLevel="0" collapsed="false"/>
    <row r="61827" customFormat="false" ht="12.75" hidden="false" customHeight="true" outlineLevel="0" collapsed="false"/>
    <row r="61828" customFormat="false" ht="12.75" hidden="false" customHeight="true" outlineLevel="0" collapsed="false"/>
    <row r="61829" customFormat="false" ht="12.75" hidden="false" customHeight="true" outlineLevel="0" collapsed="false"/>
    <row r="61830" customFormat="false" ht="12.75" hidden="false" customHeight="true" outlineLevel="0" collapsed="false"/>
    <row r="61831" customFormat="false" ht="12.75" hidden="false" customHeight="true" outlineLevel="0" collapsed="false"/>
    <row r="61832" customFormat="false" ht="12.75" hidden="false" customHeight="true" outlineLevel="0" collapsed="false"/>
    <row r="61833" customFormat="false" ht="12.75" hidden="false" customHeight="true" outlineLevel="0" collapsed="false"/>
    <row r="61834" customFormat="false" ht="12.75" hidden="false" customHeight="true" outlineLevel="0" collapsed="false"/>
    <row r="61835" customFormat="false" ht="12.75" hidden="false" customHeight="true" outlineLevel="0" collapsed="false"/>
    <row r="61836" customFormat="false" ht="12.75" hidden="false" customHeight="true" outlineLevel="0" collapsed="false"/>
    <row r="61837" customFormat="false" ht="12.75" hidden="false" customHeight="true" outlineLevel="0" collapsed="false"/>
    <row r="61838" customFormat="false" ht="12.75" hidden="false" customHeight="true" outlineLevel="0" collapsed="false"/>
    <row r="61839" customFormat="false" ht="12.75" hidden="false" customHeight="true" outlineLevel="0" collapsed="false"/>
    <row r="61840" customFormat="false" ht="12.75" hidden="false" customHeight="true" outlineLevel="0" collapsed="false"/>
    <row r="61841" customFormat="false" ht="12.75" hidden="false" customHeight="true" outlineLevel="0" collapsed="false"/>
    <row r="61842" customFormat="false" ht="12.75" hidden="false" customHeight="true" outlineLevel="0" collapsed="false"/>
    <row r="61843" customFormat="false" ht="12.75" hidden="false" customHeight="true" outlineLevel="0" collapsed="false"/>
    <row r="61844" customFormat="false" ht="12.75" hidden="false" customHeight="true" outlineLevel="0" collapsed="false"/>
    <row r="61845" customFormat="false" ht="12.75" hidden="false" customHeight="true" outlineLevel="0" collapsed="false"/>
    <row r="61846" customFormat="false" ht="12.75" hidden="false" customHeight="true" outlineLevel="0" collapsed="false"/>
    <row r="61847" customFormat="false" ht="12.75" hidden="false" customHeight="true" outlineLevel="0" collapsed="false"/>
    <row r="61848" customFormat="false" ht="12.75" hidden="false" customHeight="true" outlineLevel="0" collapsed="false"/>
    <row r="61849" customFormat="false" ht="12.75" hidden="false" customHeight="true" outlineLevel="0" collapsed="false"/>
    <row r="61850" customFormat="false" ht="12.75" hidden="false" customHeight="true" outlineLevel="0" collapsed="false"/>
    <row r="61851" customFormat="false" ht="12.75" hidden="false" customHeight="true" outlineLevel="0" collapsed="false"/>
    <row r="61852" customFormat="false" ht="12.75" hidden="false" customHeight="true" outlineLevel="0" collapsed="false"/>
    <row r="61853" customFormat="false" ht="12.75" hidden="false" customHeight="true" outlineLevel="0" collapsed="false"/>
    <row r="61854" customFormat="false" ht="12.75" hidden="false" customHeight="true" outlineLevel="0" collapsed="false"/>
    <row r="61855" customFormat="false" ht="12.75" hidden="false" customHeight="true" outlineLevel="0" collapsed="false"/>
    <row r="61856" customFormat="false" ht="12.75" hidden="false" customHeight="true" outlineLevel="0" collapsed="false"/>
    <row r="61857" customFormat="false" ht="12.75" hidden="false" customHeight="true" outlineLevel="0" collapsed="false"/>
    <row r="61858" customFormat="false" ht="12.75" hidden="false" customHeight="true" outlineLevel="0" collapsed="false"/>
    <row r="61859" customFormat="false" ht="12.75" hidden="false" customHeight="true" outlineLevel="0" collapsed="false"/>
    <row r="61860" customFormat="false" ht="12.75" hidden="false" customHeight="true" outlineLevel="0" collapsed="false"/>
    <row r="61861" customFormat="false" ht="12.75" hidden="false" customHeight="true" outlineLevel="0" collapsed="false"/>
    <row r="61862" customFormat="false" ht="12.75" hidden="false" customHeight="true" outlineLevel="0" collapsed="false"/>
    <row r="61863" customFormat="false" ht="12.75" hidden="false" customHeight="true" outlineLevel="0" collapsed="false"/>
    <row r="61864" customFormat="false" ht="12.75" hidden="false" customHeight="true" outlineLevel="0" collapsed="false"/>
    <row r="61865" customFormat="false" ht="12.75" hidden="false" customHeight="true" outlineLevel="0" collapsed="false"/>
    <row r="61866" customFormat="false" ht="12.75" hidden="false" customHeight="true" outlineLevel="0" collapsed="false"/>
    <row r="61867" customFormat="false" ht="12.75" hidden="false" customHeight="true" outlineLevel="0" collapsed="false"/>
    <row r="61868" customFormat="false" ht="12.75" hidden="false" customHeight="true" outlineLevel="0" collapsed="false"/>
    <row r="61869" customFormat="false" ht="12.75" hidden="false" customHeight="true" outlineLevel="0" collapsed="false"/>
    <row r="61870" customFormat="false" ht="12.75" hidden="false" customHeight="true" outlineLevel="0" collapsed="false"/>
    <row r="61871" customFormat="false" ht="12.75" hidden="false" customHeight="true" outlineLevel="0" collapsed="false"/>
    <row r="61872" customFormat="false" ht="12.75" hidden="false" customHeight="true" outlineLevel="0" collapsed="false"/>
    <row r="61873" customFormat="false" ht="12.75" hidden="false" customHeight="true" outlineLevel="0" collapsed="false"/>
    <row r="61874" customFormat="false" ht="12.75" hidden="false" customHeight="true" outlineLevel="0" collapsed="false"/>
    <row r="61875" customFormat="false" ht="12.75" hidden="false" customHeight="true" outlineLevel="0" collapsed="false"/>
    <row r="61876" customFormat="false" ht="12.75" hidden="false" customHeight="true" outlineLevel="0" collapsed="false"/>
    <row r="61877" customFormat="false" ht="12.75" hidden="false" customHeight="true" outlineLevel="0" collapsed="false"/>
    <row r="61878" customFormat="false" ht="12.75" hidden="false" customHeight="true" outlineLevel="0" collapsed="false"/>
    <row r="61879" customFormat="false" ht="12.75" hidden="false" customHeight="true" outlineLevel="0" collapsed="false"/>
    <row r="61880" customFormat="false" ht="12.75" hidden="false" customHeight="true" outlineLevel="0" collapsed="false"/>
    <row r="61881" customFormat="false" ht="12.75" hidden="false" customHeight="true" outlineLevel="0" collapsed="false"/>
    <row r="61882" customFormat="false" ht="12.75" hidden="false" customHeight="true" outlineLevel="0" collapsed="false"/>
    <row r="61883" customFormat="false" ht="12.75" hidden="false" customHeight="true" outlineLevel="0" collapsed="false"/>
    <row r="61884" customFormat="false" ht="12.75" hidden="false" customHeight="true" outlineLevel="0" collapsed="false"/>
    <row r="61885" customFormat="false" ht="12.75" hidden="false" customHeight="true" outlineLevel="0" collapsed="false"/>
    <row r="61886" customFormat="false" ht="12.75" hidden="false" customHeight="true" outlineLevel="0" collapsed="false"/>
    <row r="61887" customFormat="false" ht="12.75" hidden="false" customHeight="true" outlineLevel="0" collapsed="false"/>
    <row r="61888" customFormat="false" ht="12.75" hidden="false" customHeight="true" outlineLevel="0" collapsed="false"/>
    <row r="61889" customFormat="false" ht="12.75" hidden="false" customHeight="true" outlineLevel="0" collapsed="false"/>
    <row r="61890" customFormat="false" ht="12.75" hidden="false" customHeight="true" outlineLevel="0" collapsed="false"/>
    <row r="61891" customFormat="false" ht="12.75" hidden="false" customHeight="true" outlineLevel="0" collapsed="false"/>
    <row r="61892" customFormat="false" ht="12.75" hidden="false" customHeight="true" outlineLevel="0" collapsed="false"/>
    <row r="61893" customFormat="false" ht="12.75" hidden="false" customHeight="true" outlineLevel="0" collapsed="false"/>
    <row r="61894" customFormat="false" ht="12.75" hidden="false" customHeight="true" outlineLevel="0" collapsed="false"/>
    <row r="61895" customFormat="false" ht="12.75" hidden="false" customHeight="true" outlineLevel="0" collapsed="false"/>
    <row r="61896" customFormat="false" ht="12.75" hidden="false" customHeight="true" outlineLevel="0" collapsed="false"/>
    <row r="61897" customFormat="false" ht="12.75" hidden="false" customHeight="true" outlineLevel="0" collapsed="false"/>
    <row r="61898" customFormat="false" ht="12.75" hidden="false" customHeight="true" outlineLevel="0" collapsed="false"/>
    <row r="61899" customFormat="false" ht="12.75" hidden="false" customHeight="true" outlineLevel="0" collapsed="false"/>
    <row r="61900" customFormat="false" ht="12.75" hidden="false" customHeight="true" outlineLevel="0" collapsed="false"/>
    <row r="61901" customFormat="false" ht="12.75" hidden="false" customHeight="true" outlineLevel="0" collapsed="false"/>
    <row r="61902" customFormat="false" ht="12.75" hidden="false" customHeight="true" outlineLevel="0" collapsed="false"/>
    <row r="61903" customFormat="false" ht="12.75" hidden="false" customHeight="true" outlineLevel="0" collapsed="false"/>
    <row r="61904" customFormat="false" ht="12.75" hidden="false" customHeight="true" outlineLevel="0" collapsed="false"/>
    <row r="61905" customFormat="false" ht="12.75" hidden="false" customHeight="true" outlineLevel="0" collapsed="false"/>
    <row r="61906" customFormat="false" ht="12.75" hidden="false" customHeight="true" outlineLevel="0" collapsed="false"/>
    <row r="61907" customFormat="false" ht="12.75" hidden="false" customHeight="true" outlineLevel="0" collapsed="false"/>
    <row r="61908" customFormat="false" ht="12.75" hidden="false" customHeight="true" outlineLevel="0" collapsed="false"/>
    <row r="61909" customFormat="false" ht="12.75" hidden="false" customHeight="true" outlineLevel="0" collapsed="false"/>
    <row r="61910" customFormat="false" ht="12.75" hidden="false" customHeight="true" outlineLevel="0" collapsed="false"/>
    <row r="61911" customFormat="false" ht="12.75" hidden="false" customHeight="true" outlineLevel="0" collapsed="false"/>
    <row r="61912" customFormat="false" ht="12.75" hidden="false" customHeight="true" outlineLevel="0" collapsed="false"/>
    <row r="61913" customFormat="false" ht="12.75" hidden="false" customHeight="true" outlineLevel="0" collapsed="false"/>
    <row r="61914" customFormat="false" ht="12.75" hidden="false" customHeight="true" outlineLevel="0" collapsed="false"/>
    <row r="61915" customFormat="false" ht="12.75" hidden="false" customHeight="true" outlineLevel="0" collapsed="false"/>
    <row r="61916" customFormat="false" ht="12.75" hidden="false" customHeight="true" outlineLevel="0" collapsed="false"/>
    <row r="61917" customFormat="false" ht="12.75" hidden="false" customHeight="true" outlineLevel="0" collapsed="false"/>
    <row r="61918" customFormat="false" ht="12.75" hidden="false" customHeight="true" outlineLevel="0" collapsed="false"/>
    <row r="61919" customFormat="false" ht="12.75" hidden="false" customHeight="true" outlineLevel="0" collapsed="false"/>
    <row r="61920" customFormat="false" ht="12.75" hidden="false" customHeight="true" outlineLevel="0" collapsed="false"/>
    <row r="61921" customFormat="false" ht="12.75" hidden="false" customHeight="true" outlineLevel="0" collapsed="false"/>
    <row r="61922" customFormat="false" ht="12.75" hidden="false" customHeight="true" outlineLevel="0" collapsed="false"/>
    <row r="61923" customFormat="false" ht="12.75" hidden="false" customHeight="true" outlineLevel="0" collapsed="false"/>
    <row r="61924" customFormat="false" ht="12.75" hidden="false" customHeight="true" outlineLevel="0" collapsed="false"/>
    <row r="61925" customFormat="false" ht="12.75" hidden="false" customHeight="true" outlineLevel="0" collapsed="false"/>
    <row r="61926" customFormat="false" ht="12.75" hidden="false" customHeight="true" outlineLevel="0" collapsed="false"/>
    <row r="61927" customFormat="false" ht="12.75" hidden="false" customHeight="true" outlineLevel="0" collapsed="false"/>
    <row r="61928" customFormat="false" ht="12.75" hidden="false" customHeight="true" outlineLevel="0" collapsed="false"/>
    <row r="61929" customFormat="false" ht="12.75" hidden="false" customHeight="true" outlineLevel="0" collapsed="false"/>
    <row r="61930" customFormat="false" ht="12.75" hidden="false" customHeight="true" outlineLevel="0" collapsed="false"/>
    <row r="61931" customFormat="false" ht="12.75" hidden="false" customHeight="true" outlineLevel="0" collapsed="false"/>
    <row r="61932" customFormat="false" ht="12.75" hidden="false" customHeight="true" outlineLevel="0" collapsed="false"/>
    <row r="61933" customFormat="false" ht="12.75" hidden="false" customHeight="true" outlineLevel="0" collapsed="false"/>
    <row r="61934" customFormat="false" ht="12.75" hidden="false" customHeight="true" outlineLevel="0" collapsed="false"/>
    <row r="61935" customFormat="false" ht="12.75" hidden="false" customHeight="true" outlineLevel="0" collapsed="false"/>
    <row r="61936" customFormat="false" ht="12.75" hidden="false" customHeight="true" outlineLevel="0" collapsed="false"/>
    <row r="61937" customFormat="false" ht="12.75" hidden="false" customHeight="true" outlineLevel="0" collapsed="false"/>
    <row r="61938" customFormat="false" ht="12.75" hidden="false" customHeight="true" outlineLevel="0" collapsed="false"/>
    <row r="61939" customFormat="false" ht="12.75" hidden="false" customHeight="true" outlineLevel="0" collapsed="false"/>
    <row r="61940" customFormat="false" ht="12.75" hidden="false" customHeight="true" outlineLevel="0" collapsed="false"/>
    <row r="61941" customFormat="false" ht="12.75" hidden="false" customHeight="true" outlineLevel="0" collapsed="false"/>
    <row r="61942" customFormat="false" ht="12.75" hidden="false" customHeight="true" outlineLevel="0" collapsed="false"/>
    <row r="61943" customFormat="false" ht="12.75" hidden="false" customHeight="true" outlineLevel="0" collapsed="false"/>
    <row r="61944" customFormat="false" ht="12.75" hidden="false" customHeight="true" outlineLevel="0" collapsed="false"/>
    <row r="61945" customFormat="false" ht="12.75" hidden="false" customHeight="true" outlineLevel="0" collapsed="false"/>
    <row r="61946" customFormat="false" ht="12.75" hidden="false" customHeight="true" outlineLevel="0" collapsed="false"/>
    <row r="61947" customFormat="false" ht="12.75" hidden="false" customHeight="true" outlineLevel="0" collapsed="false"/>
    <row r="61948" customFormat="false" ht="12.75" hidden="false" customHeight="true" outlineLevel="0" collapsed="false"/>
    <row r="61949" customFormat="false" ht="12.75" hidden="false" customHeight="true" outlineLevel="0" collapsed="false"/>
    <row r="61950" customFormat="false" ht="12.75" hidden="false" customHeight="true" outlineLevel="0" collapsed="false"/>
    <row r="61951" customFormat="false" ht="12.75" hidden="false" customHeight="true" outlineLevel="0" collapsed="false"/>
    <row r="61952" customFormat="false" ht="12.75" hidden="false" customHeight="true" outlineLevel="0" collapsed="false"/>
    <row r="61953" customFormat="false" ht="12.75" hidden="false" customHeight="true" outlineLevel="0" collapsed="false"/>
    <row r="61954" customFormat="false" ht="12.75" hidden="false" customHeight="true" outlineLevel="0" collapsed="false"/>
    <row r="61955" customFormat="false" ht="12.75" hidden="false" customHeight="true" outlineLevel="0" collapsed="false"/>
    <row r="61956" customFormat="false" ht="12.75" hidden="false" customHeight="true" outlineLevel="0" collapsed="false"/>
    <row r="61957" customFormat="false" ht="12.75" hidden="false" customHeight="true" outlineLevel="0" collapsed="false"/>
    <row r="61958" customFormat="false" ht="12.75" hidden="false" customHeight="true" outlineLevel="0" collapsed="false"/>
    <row r="61959" customFormat="false" ht="12.75" hidden="false" customHeight="true" outlineLevel="0" collapsed="false"/>
    <row r="61960" customFormat="false" ht="12.75" hidden="false" customHeight="true" outlineLevel="0" collapsed="false"/>
    <row r="61961" customFormat="false" ht="12.75" hidden="false" customHeight="true" outlineLevel="0" collapsed="false"/>
    <row r="61962" customFormat="false" ht="12.75" hidden="false" customHeight="true" outlineLevel="0" collapsed="false"/>
    <row r="61963" customFormat="false" ht="12.75" hidden="false" customHeight="true" outlineLevel="0" collapsed="false"/>
    <row r="61964" customFormat="false" ht="12.75" hidden="false" customHeight="true" outlineLevel="0" collapsed="false"/>
    <row r="61965" customFormat="false" ht="12.75" hidden="false" customHeight="true" outlineLevel="0" collapsed="false"/>
    <row r="61966" customFormat="false" ht="12.75" hidden="false" customHeight="true" outlineLevel="0" collapsed="false"/>
    <row r="61967" customFormat="false" ht="12.75" hidden="false" customHeight="true" outlineLevel="0" collapsed="false"/>
    <row r="61968" customFormat="false" ht="12.75" hidden="false" customHeight="true" outlineLevel="0" collapsed="false"/>
    <row r="61969" customFormat="false" ht="12.75" hidden="false" customHeight="true" outlineLevel="0" collapsed="false"/>
    <row r="61970" customFormat="false" ht="12.75" hidden="false" customHeight="true" outlineLevel="0" collapsed="false"/>
    <row r="61971" customFormat="false" ht="12.75" hidden="false" customHeight="true" outlineLevel="0" collapsed="false"/>
    <row r="61972" customFormat="false" ht="12.75" hidden="false" customHeight="true" outlineLevel="0" collapsed="false"/>
    <row r="61973" customFormat="false" ht="12.75" hidden="false" customHeight="true" outlineLevel="0" collapsed="false"/>
    <row r="61974" customFormat="false" ht="12.75" hidden="false" customHeight="true" outlineLevel="0" collapsed="false"/>
    <row r="61975" customFormat="false" ht="12.75" hidden="false" customHeight="true" outlineLevel="0" collapsed="false"/>
    <row r="61976" customFormat="false" ht="12.75" hidden="false" customHeight="true" outlineLevel="0" collapsed="false"/>
    <row r="61977" customFormat="false" ht="12.75" hidden="false" customHeight="true" outlineLevel="0" collapsed="false"/>
    <row r="61978" customFormat="false" ht="12.75" hidden="false" customHeight="true" outlineLevel="0" collapsed="false"/>
    <row r="61979" customFormat="false" ht="12.75" hidden="false" customHeight="true" outlineLevel="0" collapsed="false"/>
    <row r="61980" customFormat="false" ht="12.75" hidden="false" customHeight="true" outlineLevel="0" collapsed="false"/>
    <row r="61981" customFormat="false" ht="12.75" hidden="false" customHeight="true" outlineLevel="0" collapsed="false"/>
    <row r="61982" customFormat="false" ht="12.75" hidden="false" customHeight="true" outlineLevel="0" collapsed="false"/>
    <row r="61983" customFormat="false" ht="12.75" hidden="false" customHeight="true" outlineLevel="0" collapsed="false"/>
    <row r="61984" customFormat="false" ht="12.75" hidden="false" customHeight="true" outlineLevel="0" collapsed="false"/>
    <row r="61985" customFormat="false" ht="12.75" hidden="false" customHeight="true" outlineLevel="0" collapsed="false"/>
    <row r="61986" customFormat="false" ht="12.75" hidden="false" customHeight="true" outlineLevel="0" collapsed="false"/>
    <row r="61987" customFormat="false" ht="12.75" hidden="false" customHeight="true" outlineLevel="0" collapsed="false"/>
    <row r="61988" customFormat="false" ht="12.75" hidden="false" customHeight="true" outlineLevel="0" collapsed="false"/>
    <row r="61989" customFormat="false" ht="12.75" hidden="false" customHeight="true" outlineLevel="0" collapsed="false"/>
    <row r="61990" customFormat="false" ht="12.75" hidden="false" customHeight="true" outlineLevel="0" collapsed="false"/>
    <row r="61991" customFormat="false" ht="12.75" hidden="false" customHeight="true" outlineLevel="0" collapsed="false"/>
    <row r="61992" customFormat="false" ht="12.75" hidden="false" customHeight="true" outlineLevel="0" collapsed="false"/>
    <row r="61993" customFormat="false" ht="12.75" hidden="false" customHeight="true" outlineLevel="0" collapsed="false"/>
    <row r="61994" customFormat="false" ht="12.75" hidden="false" customHeight="true" outlineLevel="0" collapsed="false"/>
    <row r="61995" customFormat="false" ht="12.75" hidden="false" customHeight="true" outlineLevel="0" collapsed="false"/>
    <row r="61996" customFormat="false" ht="12.75" hidden="false" customHeight="true" outlineLevel="0" collapsed="false"/>
    <row r="61997" customFormat="false" ht="12.75" hidden="false" customHeight="true" outlineLevel="0" collapsed="false"/>
    <row r="61998" customFormat="false" ht="12.75" hidden="false" customHeight="true" outlineLevel="0" collapsed="false"/>
    <row r="61999" customFormat="false" ht="12.75" hidden="false" customHeight="true" outlineLevel="0" collapsed="false"/>
    <row r="62000" customFormat="false" ht="12.75" hidden="false" customHeight="true" outlineLevel="0" collapsed="false"/>
    <row r="62001" customFormat="false" ht="12.75" hidden="false" customHeight="true" outlineLevel="0" collapsed="false"/>
    <row r="62002" customFormat="false" ht="12.75" hidden="false" customHeight="true" outlineLevel="0" collapsed="false"/>
    <row r="62003" customFormat="false" ht="12.75" hidden="false" customHeight="true" outlineLevel="0" collapsed="false"/>
    <row r="62004" customFormat="false" ht="12.75" hidden="false" customHeight="true" outlineLevel="0" collapsed="false"/>
    <row r="62005" customFormat="false" ht="12.75" hidden="false" customHeight="true" outlineLevel="0" collapsed="false"/>
    <row r="62006" customFormat="false" ht="12.75" hidden="false" customHeight="true" outlineLevel="0" collapsed="false"/>
    <row r="62007" customFormat="false" ht="12.75" hidden="false" customHeight="true" outlineLevel="0" collapsed="false"/>
    <row r="62008" customFormat="false" ht="12.75" hidden="false" customHeight="true" outlineLevel="0" collapsed="false"/>
    <row r="62009" customFormat="false" ht="12.75" hidden="false" customHeight="true" outlineLevel="0" collapsed="false"/>
    <row r="62010" customFormat="false" ht="12.75" hidden="false" customHeight="true" outlineLevel="0" collapsed="false"/>
    <row r="62011" customFormat="false" ht="12.75" hidden="false" customHeight="true" outlineLevel="0" collapsed="false"/>
    <row r="62012" customFormat="false" ht="12.75" hidden="false" customHeight="true" outlineLevel="0" collapsed="false"/>
    <row r="62013" customFormat="false" ht="12.75" hidden="false" customHeight="true" outlineLevel="0" collapsed="false"/>
    <row r="62014" customFormat="false" ht="12.75" hidden="false" customHeight="true" outlineLevel="0" collapsed="false"/>
    <row r="62015" customFormat="false" ht="12.75" hidden="false" customHeight="true" outlineLevel="0" collapsed="false"/>
    <row r="62016" customFormat="false" ht="12.75" hidden="false" customHeight="true" outlineLevel="0" collapsed="false"/>
    <row r="62017" customFormat="false" ht="12.75" hidden="false" customHeight="true" outlineLevel="0" collapsed="false"/>
    <row r="62018" customFormat="false" ht="12.75" hidden="false" customHeight="true" outlineLevel="0" collapsed="false"/>
    <row r="62019" customFormat="false" ht="12.75" hidden="false" customHeight="true" outlineLevel="0" collapsed="false"/>
    <row r="62020" customFormat="false" ht="12.75" hidden="false" customHeight="true" outlineLevel="0" collapsed="false"/>
    <row r="62021" customFormat="false" ht="12.75" hidden="false" customHeight="true" outlineLevel="0" collapsed="false"/>
    <row r="62022" customFormat="false" ht="12.75" hidden="false" customHeight="true" outlineLevel="0" collapsed="false"/>
    <row r="62023" customFormat="false" ht="12.75" hidden="false" customHeight="true" outlineLevel="0" collapsed="false"/>
    <row r="62024" customFormat="false" ht="12.75" hidden="false" customHeight="true" outlineLevel="0" collapsed="false"/>
    <row r="62025" customFormat="false" ht="12.75" hidden="false" customHeight="true" outlineLevel="0" collapsed="false"/>
    <row r="62026" customFormat="false" ht="12.75" hidden="false" customHeight="true" outlineLevel="0" collapsed="false"/>
    <row r="62027" customFormat="false" ht="12.75" hidden="false" customHeight="true" outlineLevel="0" collapsed="false"/>
    <row r="62028" customFormat="false" ht="12.75" hidden="false" customHeight="true" outlineLevel="0" collapsed="false"/>
    <row r="62029" customFormat="false" ht="12.75" hidden="false" customHeight="true" outlineLevel="0" collapsed="false"/>
    <row r="62030" customFormat="false" ht="12.75" hidden="false" customHeight="true" outlineLevel="0" collapsed="false"/>
    <row r="62031" customFormat="false" ht="12.75" hidden="false" customHeight="true" outlineLevel="0" collapsed="false"/>
    <row r="62032" customFormat="false" ht="12.75" hidden="false" customHeight="true" outlineLevel="0" collapsed="false"/>
    <row r="62033" customFormat="false" ht="12.75" hidden="false" customHeight="true" outlineLevel="0" collapsed="false"/>
    <row r="62034" customFormat="false" ht="12.75" hidden="false" customHeight="true" outlineLevel="0" collapsed="false"/>
    <row r="62035" customFormat="false" ht="12.75" hidden="false" customHeight="true" outlineLevel="0" collapsed="false"/>
    <row r="62036" customFormat="false" ht="12.75" hidden="false" customHeight="true" outlineLevel="0" collapsed="false"/>
    <row r="62037" customFormat="false" ht="12.75" hidden="false" customHeight="true" outlineLevel="0" collapsed="false"/>
    <row r="62038" customFormat="false" ht="12.75" hidden="false" customHeight="true" outlineLevel="0" collapsed="false"/>
    <row r="62039" customFormat="false" ht="12.75" hidden="false" customHeight="true" outlineLevel="0" collapsed="false"/>
    <row r="62040" customFormat="false" ht="12.75" hidden="false" customHeight="true" outlineLevel="0" collapsed="false"/>
    <row r="62041" customFormat="false" ht="12.75" hidden="false" customHeight="true" outlineLevel="0" collapsed="false"/>
    <row r="62042" customFormat="false" ht="12.75" hidden="false" customHeight="true" outlineLevel="0" collapsed="false"/>
    <row r="62043" customFormat="false" ht="12.75" hidden="false" customHeight="true" outlineLevel="0" collapsed="false"/>
    <row r="62044" customFormat="false" ht="12.75" hidden="false" customHeight="true" outlineLevel="0" collapsed="false"/>
    <row r="62045" customFormat="false" ht="12.75" hidden="false" customHeight="true" outlineLevel="0" collapsed="false"/>
    <row r="62046" customFormat="false" ht="12.75" hidden="false" customHeight="true" outlineLevel="0" collapsed="false"/>
    <row r="62047" customFormat="false" ht="12.75" hidden="false" customHeight="true" outlineLevel="0" collapsed="false"/>
    <row r="62048" customFormat="false" ht="12.75" hidden="false" customHeight="true" outlineLevel="0" collapsed="false"/>
    <row r="62049" customFormat="false" ht="12.75" hidden="false" customHeight="true" outlineLevel="0" collapsed="false"/>
    <row r="62050" customFormat="false" ht="12.75" hidden="false" customHeight="true" outlineLevel="0" collapsed="false"/>
    <row r="62051" customFormat="false" ht="12.75" hidden="false" customHeight="true" outlineLevel="0" collapsed="false"/>
    <row r="62052" customFormat="false" ht="12.75" hidden="false" customHeight="true" outlineLevel="0" collapsed="false"/>
    <row r="62053" customFormat="false" ht="12.75" hidden="false" customHeight="true" outlineLevel="0" collapsed="false"/>
    <row r="62054" customFormat="false" ht="12.75" hidden="false" customHeight="true" outlineLevel="0" collapsed="false"/>
    <row r="62055" customFormat="false" ht="12.75" hidden="false" customHeight="true" outlineLevel="0" collapsed="false"/>
    <row r="62056" customFormat="false" ht="12.75" hidden="false" customHeight="true" outlineLevel="0" collapsed="false"/>
    <row r="62057" customFormat="false" ht="12.75" hidden="false" customHeight="true" outlineLevel="0" collapsed="false"/>
    <row r="62058" customFormat="false" ht="12.75" hidden="false" customHeight="true" outlineLevel="0" collapsed="false"/>
    <row r="62059" customFormat="false" ht="12.75" hidden="false" customHeight="true" outlineLevel="0" collapsed="false"/>
    <row r="62060" customFormat="false" ht="12.75" hidden="false" customHeight="true" outlineLevel="0" collapsed="false"/>
    <row r="62061" customFormat="false" ht="12.75" hidden="false" customHeight="true" outlineLevel="0" collapsed="false"/>
    <row r="62062" customFormat="false" ht="12.75" hidden="false" customHeight="true" outlineLevel="0" collapsed="false"/>
    <row r="62063" customFormat="false" ht="12.75" hidden="false" customHeight="true" outlineLevel="0" collapsed="false"/>
    <row r="62064" customFormat="false" ht="12.75" hidden="false" customHeight="true" outlineLevel="0" collapsed="false"/>
    <row r="62065" customFormat="false" ht="12.75" hidden="false" customHeight="true" outlineLevel="0" collapsed="false"/>
    <row r="62066" customFormat="false" ht="12.75" hidden="false" customHeight="true" outlineLevel="0" collapsed="false"/>
    <row r="62067" customFormat="false" ht="12.75" hidden="false" customHeight="true" outlineLevel="0" collapsed="false"/>
    <row r="62068" customFormat="false" ht="12.75" hidden="false" customHeight="true" outlineLevel="0" collapsed="false"/>
    <row r="62069" customFormat="false" ht="12.75" hidden="false" customHeight="true" outlineLevel="0" collapsed="false"/>
    <row r="62070" customFormat="false" ht="12.75" hidden="false" customHeight="true" outlineLevel="0" collapsed="false"/>
    <row r="62071" customFormat="false" ht="12.75" hidden="false" customHeight="true" outlineLevel="0" collapsed="false"/>
    <row r="62072" customFormat="false" ht="12.75" hidden="false" customHeight="true" outlineLevel="0" collapsed="false"/>
    <row r="62073" customFormat="false" ht="12.75" hidden="false" customHeight="true" outlineLevel="0" collapsed="false"/>
    <row r="62074" customFormat="false" ht="12.75" hidden="false" customHeight="true" outlineLevel="0" collapsed="false"/>
    <row r="62075" customFormat="false" ht="12.75" hidden="false" customHeight="true" outlineLevel="0" collapsed="false"/>
    <row r="62076" customFormat="false" ht="12.75" hidden="false" customHeight="true" outlineLevel="0" collapsed="false"/>
    <row r="62077" customFormat="false" ht="12.75" hidden="false" customHeight="true" outlineLevel="0" collapsed="false"/>
    <row r="62078" customFormat="false" ht="12.75" hidden="false" customHeight="true" outlineLevel="0" collapsed="false"/>
    <row r="62079" customFormat="false" ht="12.75" hidden="false" customHeight="true" outlineLevel="0" collapsed="false"/>
    <row r="62080" customFormat="false" ht="12.75" hidden="false" customHeight="true" outlineLevel="0" collapsed="false"/>
    <row r="62081" customFormat="false" ht="12.75" hidden="false" customHeight="true" outlineLevel="0" collapsed="false"/>
    <row r="62082" customFormat="false" ht="12.75" hidden="false" customHeight="true" outlineLevel="0" collapsed="false"/>
    <row r="62083" customFormat="false" ht="12.75" hidden="false" customHeight="true" outlineLevel="0" collapsed="false"/>
    <row r="62084" customFormat="false" ht="12.75" hidden="false" customHeight="true" outlineLevel="0" collapsed="false"/>
    <row r="62085" customFormat="false" ht="12.75" hidden="false" customHeight="true" outlineLevel="0" collapsed="false"/>
    <row r="62086" customFormat="false" ht="12.75" hidden="false" customHeight="true" outlineLevel="0" collapsed="false"/>
    <row r="62087" customFormat="false" ht="12.75" hidden="false" customHeight="true" outlineLevel="0" collapsed="false"/>
    <row r="62088" customFormat="false" ht="12.75" hidden="false" customHeight="true" outlineLevel="0" collapsed="false"/>
    <row r="62089" customFormat="false" ht="12.75" hidden="false" customHeight="true" outlineLevel="0" collapsed="false"/>
    <row r="62090" customFormat="false" ht="12.75" hidden="false" customHeight="true" outlineLevel="0" collapsed="false"/>
    <row r="62091" customFormat="false" ht="12.75" hidden="false" customHeight="true" outlineLevel="0" collapsed="false"/>
    <row r="62092" customFormat="false" ht="12.75" hidden="false" customHeight="true" outlineLevel="0" collapsed="false"/>
    <row r="62093" customFormat="false" ht="12.75" hidden="false" customHeight="true" outlineLevel="0" collapsed="false"/>
    <row r="62094" customFormat="false" ht="12.75" hidden="false" customHeight="true" outlineLevel="0" collapsed="false"/>
    <row r="62095" customFormat="false" ht="12.75" hidden="false" customHeight="true" outlineLevel="0" collapsed="false"/>
    <row r="62096" customFormat="false" ht="12.75" hidden="false" customHeight="true" outlineLevel="0" collapsed="false"/>
    <row r="62097" customFormat="false" ht="12.75" hidden="false" customHeight="true" outlineLevel="0" collapsed="false"/>
    <row r="62098" customFormat="false" ht="12.75" hidden="false" customHeight="true" outlineLevel="0" collapsed="false"/>
    <row r="62099" customFormat="false" ht="12.75" hidden="false" customHeight="true" outlineLevel="0" collapsed="false"/>
    <row r="62100" customFormat="false" ht="12.75" hidden="false" customHeight="true" outlineLevel="0" collapsed="false"/>
    <row r="62101" customFormat="false" ht="12.75" hidden="false" customHeight="true" outlineLevel="0" collapsed="false"/>
    <row r="62102" customFormat="false" ht="12.75" hidden="false" customHeight="true" outlineLevel="0" collapsed="false"/>
    <row r="62103" customFormat="false" ht="12.75" hidden="false" customHeight="true" outlineLevel="0" collapsed="false"/>
    <row r="62104" customFormat="false" ht="12.75" hidden="false" customHeight="true" outlineLevel="0" collapsed="false"/>
    <row r="62105" customFormat="false" ht="12.75" hidden="false" customHeight="true" outlineLevel="0" collapsed="false"/>
    <row r="62106" customFormat="false" ht="12.75" hidden="false" customHeight="true" outlineLevel="0" collapsed="false"/>
    <row r="62107" customFormat="false" ht="12.75" hidden="false" customHeight="true" outlineLevel="0" collapsed="false"/>
    <row r="62108" customFormat="false" ht="12.75" hidden="false" customHeight="true" outlineLevel="0" collapsed="false"/>
    <row r="62109" customFormat="false" ht="12.75" hidden="false" customHeight="true" outlineLevel="0" collapsed="false"/>
    <row r="62110" customFormat="false" ht="12.75" hidden="false" customHeight="true" outlineLevel="0" collapsed="false"/>
    <row r="62111" customFormat="false" ht="12.75" hidden="false" customHeight="true" outlineLevel="0" collapsed="false"/>
    <row r="62112" customFormat="false" ht="12.75" hidden="false" customHeight="true" outlineLevel="0" collapsed="false"/>
    <row r="62113" customFormat="false" ht="12.75" hidden="false" customHeight="true" outlineLevel="0" collapsed="false"/>
    <row r="62114" customFormat="false" ht="12.75" hidden="false" customHeight="true" outlineLevel="0" collapsed="false"/>
    <row r="62115" customFormat="false" ht="12.75" hidden="false" customHeight="true" outlineLevel="0" collapsed="false"/>
    <row r="62116" customFormat="false" ht="12.75" hidden="false" customHeight="true" outlineLevel="0" collapsed="false"/>
    <row r="62117" customFormat="false" ht="12.75" hidden="false" customHeight="true" outlineLevel="0" collapsed="false"/>
    <row r="62118" customFormat="false" ht="12.75" hidden="false" customHeight="true" outlineLevel="0" collapsed="false"/>
    <row r="62119" customFormat="false" ht="12.75" hidden="false" customHeight="true" outlineLevel="0" collapsed="false"/>
    <row r="62120" customFormat="false" ht="12.75" hidden="false" customHeight="true" outlineLevel="0" collapsed="false"/>
    <row r="62121" customFormat="false" ht="12.75" hidden="false" customHeight="true" outlineLevel="0" collapsed="false"/>
    <row r="62122" customFormat="false" ht="12.75" hidden="false" customHeight="true" outlineLevel="0" collapsed="false"/>
    <row r="62123" customFormat="false" ht="12.75" hidden="false" customHeight="true" outlineLevel="0" collapsed="false"/>
    <row r="62124" customFormat="false" ht="12.75" hidden="false" customHeight="true" outlineLevel="0" collapsed="false"/>
    <row r="62125" customFormat="false" ht="12.75" hidden="false" customHeight="true" outlineLevel="0" collapsed="false"/>
    <row r="62126" customFormat="false" ht="12.75" hidden="false" customHeight="true" outlineLevel="0" collapsed="false"/>
    <row r="62127" customFormat="false" ht="12.75" hidden="false" customHeight="true" outlineLevel="0" collapsed="false"/>
    <row r="62128" customFormat="false" ht="12.75" hidden="false" customHeight="true" outlineLevel="0" collapsed="false"/>
    <row r="62129" customFormat="false" ht="12.75" hidden="false" customHeight="true" outlineLevel="0" collapsed="false"/>
    <row r="62130" customFormat="false" ht="12.75" hidden="false" customHeight="true" outlineLevel="0" collapsed="false"/>
    <row r="62131" customFormat="false" ht="12.75" hidden="false" customHeight="true" outlineLevel="0" collapsed="false"/>
    <row r="62132" customFormat="false" ht="12.75" hidden="false" customHeight="true" outlineLevel="0" collapsed="false"/>
    <row r="62133" customFormat="false" ht="12.75" hidden="false" customHeight="true" outlineLevel="0" collapsed="false"/>
    <row r="62134" customFormat="false" ht="12.75" hidden="false" customHeight="true" outlineLevel="0" collapsed="false"/>
    <row r="62135" customFormat="false" ht="12.75" hidden="false" customHeight="true" outlineLevel="0" collapsed="false"/>
    <row r="62136" customFormat="false" ht="12.75" hidden="false" customHeight="true" outlineLevel="0" collapsed="false"/>
    <row r="62137" customFormat="false" ht="12.75" hidden="false" customHeight="true" outlineLevel="0" collapsed="false"/>
    <row r="62138" customFormat="false" ht="12.75" hidden="false" customHeight="true" outlineLevel="0" collapsed="false"/>
    <row r="62139" customFormat="false" ht="12.75" hidden="false" customHeight="true" outlineLevel="0" collapsed="false"/>
    <row r="62140" customFormat="false" ht="12.75" hidden="false" customHeight="true" outlineLevel="0" collapsed="false"/>
    <row r="62141" customFormat="false" ht="12.75" hidden="false" customHeight="true" outlineLevel="0" collapsed="false"/>
    <row r="62142" customFormat="false" ht="12.75" hidden="false" customHeight="true" outlineLevel="0" collapsed="false"/>
    <row r="62143" customFormat="false" ht="12.75" hidden="false" customHeight="true" outlineLevel="0" collapsed="false"/>
    <row r="62144" customFormat="false" ht="12.75" hidden="false" customHeight="true" outlineLevel="0" collapsed="false"/>
    <row r="62145" customFormat="false" ht="12.75" hidden="false" customHeight="true" outlineLevel="0" collapsed="false"/>
    <row r="62146" customFormat="false" ht="12.75" hidden="false" customHeight="true" outlineLevel="0" collapsed="false"/>
    <row r="62147" customFormat="false" ht="12.75" hidden="false" customHeight="true" outlineLevel="0" collapsed="false"/>
    <row r="62148" customFormat="false" ht="12.75" hidden="false" customHeight="true" outlineLevel="0" collapsed="false"/>
    <row r="62149" customFormat="false" ht="12.75" hidden="false" customHeight="true" outlineLevel="0" collapsed="false"/>
    <row r="62150" customFormat="false" ht="12.75" hidden="false" customHeight="true" outlineLevel="0" collapsed="false"/>
    <row r="62151" customFormat="false" ht="12.75" hidden="false" customHeight="true" outlineLevel="0" collapsed="false"/>
    <row r="62152" customFormat="false" ht="12.75" hidden="false" customHeight="true" outlineLevel="0" collapsed="false"/>
    <row r="62153" customFormat="false" ht="12.75" hidden="false" customHeight="true" outlineLevel="0" collapsed="false"/>
    <row r="62154" customFormat="false" ht="12.75" hidden="false" customHeight="true" outlineLevel="0" collapsed="false"/>
    <row r="62155" customFormat="false" ht="12.75" hidden="false" customHeight="true" outlineLevel="0" collapsed="false"/>
    <row r="62156" customFormat="false" ht="12.75" hidden="false" customHeight="true" outlineLevel="0" collapsed="false"/>
    <row r="62157" customFormat="false" ht="12.75" hidden="false" customHeight="true" outlineLevel="0" collapsed="false"/>
    <row r="62158" customFormat="false" ht="12.75" hidden="false" customHeight="true" outlineLevel="0" collapsed="false"/>
    <row r="62159" customFormat="false" ht="12.75" hidden="false" customHeight="true" outlineLevel="0" collapsed="false"/>
    <row r="62160" customFormat="false" ht="12.75" hidden="false" customHeight="true" outlineLevel="0" collapsed="false"/>
    <row r="62161" customFormat="false" ht="12.75" hidden="false" customHeight="true" outlineLevel="0" collapsed="false"/>
    <row r="62162" customFormat="false" ht="12.75" hidden="false" customHeight="true" outlineLevel="0" collapsed="false"/>
    <row r="62163" customFormat="false" ht="12.75" hidden="false" customHeight="true" outlineLevel="0" collapsed="false"/>
    <row r="62164" customFormat="false" ht="12.75" hidden="false" customHeight="true" outlineLevel="0" collapsed="false"/>
    <row r="62165" customFormat="false" ht="12.75" hidden="false" customHeight="true" outlineLevel="0" collapsed="false"/>
    <row r="62166" customFormat="false" ht="12.75" hidden="false" customHeight="true" outlineLevel="0" collapsed="false"/>
    <row r="62167" customFormat="false" ht="12.75" hidden="false" customHeight="true" outlineLevel="0" collapsed="false"/>
    <row r="62168" customFormat="false" ht="12.75" hidden="false" customHeight="true" outlineLevel="0" collapsed="false"/>
    <row r="62169" customFormat="false" ht="12.75" hidden="false" customHeight="true" outlineLevel="0" collapsed="false"/>
    <row r="62170" customFormat="false" ht="12.75" hidden="false" customHeight="true" outlineLevel="0" collapsed="false"/>
    <row r="62171" customFormat="false" ht="12.75" hidden="false" customHeight="true" outlineLevel="0" collapsed="false"/>
    <row r="62172" customFormat="false" ht="12.75" hidden="false" customHeight="true" outlineLevel="0" collapsed="false"/>
    <row r="62173" customFormat="false" ht="12.75" hidden="false" customHeight="true" outlineLevel="0" collapsed="false"/>
    <row r="62174" customFormat="false" ht="12.75" hidden="false" customHeight="true" outlineLevel="0" collapsed="false"/>
    <row r="62175" customFormat="false" ht="12.75" hidden="false" customHeight="true" outlineLevel="0" collapsed="false"/>
    <row r="62176" customFormat="false" ht="12.75" hidden="false" customHeight="true" outlineLevel="0" collapsed="false"/>
    <row r="62177" customFormat="false" ht="12.75" hidden="false" customHeight="true" outlineLevel="0" collapsed="false"/>
    <row r="62178" customFormat="false" ht="12.75" hidden="false" customHeight="true" outlineLevel="0" collapsed="false"/>
    <row r="62179" customFormat="false" ht="12.75" hidden="false" customHeight="true" outlineLevel="0" collapsed="false"/>
    <row r="62180" customFormat="false" ht="12.75" hidden="false" customHeight="true" outlineLevel="0" collapsed="false"/>
    <row r="62181" customFormat="false" ht="12.75" hidden="false" customHeight="true" outlineLevel="0" collapsed="false"/>
    <row r="62182" customFormat="false" ht="12.75" hidden="false" customHeight="true" outlineLevel="0" collapsed="false"/>
    <row r="62183" customFormat="false" ht="12.75" hidden="false" customHeight="true" outlineLevel="0" collapsed="false"/>
    <row r="62184" customFormat="false" ht="12.75" hidden="false" customHeight="true" outlineLevel="0" collapsed="false"/>
    <row r="62185" customFormat="false" ht="12.75" hidden="false" customHeight="true" outlineLevel="0" collapsed="false"/>
    <row r="62186" customFormat="false" ht="12.75" hidden="false" customHeight="true" outlineLevel="0" collapsed="false"/>
    <row r="62187" customFormat="false" ht="12.75" hidden="false" customHeight="true" outlineLevel="0" collapsed="false"/>
    <row r="62188" customFormat="false" ht="12.75" hidden="false" customHeight="true" outlineLevel="0" collapsed="false"/>
    <row r="62189" customFormat="false" ht="12.75" hidden="false" customHeight="true" outlineLevel="0" collapsed="false"/>
    <row r="62190" customFormat="false" ht="12.75" hidden="false" customHeight="true" outlineLevel="0" collapsed="false"/>
    <row r="62191" customFormat="false" ht="12.75" hidden="false" customHeight="true" outlineLevel="0" collapsed="false"/>
    <row r="62192" customFormat="false" ht="12.75" hidden="false" customHeight="true" outlineLevel="0" collapsed="false"/>
    <row r="62193" customFormat="false" ht="12.75" hidden="false" customHeight="true" outlineLevel="0" collapsed="false"/>
    <row r="62194" customFormat="false" ht="12.75" hidden="false" customHeight="true" outlineLevel="0" collapsed="false"/>
    <row r="62195" customFormat="false" ht="12.75" hidden="false" customHeight="true" outlineLevel="0" collapsed="false"/>
    <row r="62196" customFormat="false" ht="12.75" hidden="false" customHeight="true" outlineLevel="0" collapsed="false"/>
    <row r="62197" customFormat="false" ht="12.75" hidden="false" customHeight="true" outlineLevel="0" collapsed="false"/>
    <row r="62198" customFormat="false" ht="12.75" hidden="false" customHeight="true" outlineLevel="0" collapsed="false"/>
    <row r="62199" customFormat="false" ht="12.75" hidden="false" customHeight="true" outlineLevel="0" collapsed="false"/>
    <row r="62200" customFormat="false" ht="12.75" hidden="false" customHeight="true" outlineLevel="0" collapsed="false"/>
    <row r="62201" customFormat="false" ht="12.75" hidden="false" customHeight="true" outlineLevel="0" collapsed="false"/>
    <row r="62202" customFormat="false" ht="12.75" hidden="false" customHeight="true" outlineLevel="0" collapsed="false"/>
    <row r="62203" customFormat="false" ht="12.75" hidden="false" customHeight="true" outlineLevel="0" collapsed="false"/>
    <row r="62204" customFormat="false" ht="12.75" hidden="false" customHeight="true" outlineLevel="0" collapsed="false"/>
    <row r="62205" customFormat="false" ht="12.75" hidden="false" customHeight="true" outlineLevel="0" collapsed="false"/>
    <row r="62206" customFormat="false" ht="12.75" hidden="false" customHeight="true" outlineLevel="0" collapsed="false"/>
    <row r="62207" customFormat="false" ht="12.75" hidden="false" customHeight="true" outlineLevel="0" collapsed="false"/>
    <row r="62208" customFormat="false" ht="12.75" hidden="false" customHeight="true" outlineLevel="0" collapsed="false"/>
    <row r="62209" customFormat="false" ht="12.75" hidden="false" customHeight="true" outlineLevel="0" collapsed="false"/>
    <row r="62210" customFormat="false" ht="12.75" hidden="false" customHeight="true" outlineLevel="0" collapsed="false"/>
    <row r="62211" customFormat="false" ht="12.75" hidden="false" customHeight="true" outlineLevel="0" collapsed="false"/>
    <row r="62212" customFormat="false" ht="12.75" hidden="false" customHeight="true" outlineLevel="0" collapsed="false"/>
    <row r="62213" customFormat="false" ht="12.75" hidden="false" customHeight="true" outlineLevel="0" collapsed="false"/>
    <row r="62214" customFormat="false" ht="12.75" hidden="false" customHeight="true" outlineLevel="0" collapsed="false"/>
    <row r="62215" customFormat="false" ht="12.75" hidden="false" customHeight="true" outlineLevel="0" collapsed="false"/>
    <row r="62216" customFormat="false" ht="12.75" hidden="false" customHeight="true" outlineLevel="0" collapsed="false"/>
    <row r="62217" customFormat="false" ht="12.75" hidden="false" customHeight="true" outlineLevel="0" collapsed="false"/>
    <row r="62218" customFormat="false" ht="12.75" hidden="false" customHeight="true" outlineLevel="0" collapsed="false"/>
    <row r="62219" customFormat="false" ht="12.75" hidden="false" customHeight="true" outlineLevel="0" collapsed="false"/>
    <row r="62220" customFormat="false" ht="12.75" hidden="false" customHeight="true" outlineLevel="0" collapsed="false"/>
    <row r="62221" customFormat="false" ht="12.75" hidden="false" customHeight="true" outlineLevel="0" collapsed="false"/>
    <row r="62222" customFormat="false" ht="12.75" hidden="false" customHeight="true" outlineLevel="0" collapsed="false"/>
    <row r="62223" customFormat="false" ht="12.75" hidden="false" customHeight="true" outlineLevel="0" collapsed="false"/>
    <row r="62224" customFormat="false" ht="12.75" hidden="false" customHeight="true" outlineLevel="0" collapsed="false"/>
    <row r="62225" customFormat="false" ht="12.75" hidden="false" customHeight="true" outlineLevel="0" collapsed="false"/>
    <row r="62226" customFormat="false" ht="12.75" hidden="false" customHeight="true" outlineLevel="0" collapsed="false"/>
    <row r="62227" customFormat="false" ht="12.75" hidden="false" customHeight="true" outlineLevel="0" collapsed="false"/>
    <row r="62228" customFormat="false" ht="12.75" hidden="false" customHeight="true" outlineLevel="0" collapsed="false"/>
    <row r="62229" customFormat="false" ht="12.75" hidden="false" customHeight="true" outlineLevel="0" collapsed="false"/>
    <row r="62230" customFormat="false" ht="12.75" hidden="false" customHeight="true" outlineLevel="0" collapsed="false"/>
    <row r="62231" customFormat="false" ht="12.75" hidden="false" customHeight="true" outlineLevel="0" collapsed="false"/>
    <row r="62232" customFormat="false" ht="12.75" hidden="false" customHeight="true" outlineLevel="0" collapsed="false"/>
    <row r="62233" customFormat="false" ht="12.75" hidden="false" customHeight="true" outlineLevel="0" collapsed="false"/>
    <row r="62234" customFormat="false" ht="12.75" hidden="false" customHeight="true" outlineLevel="0" collapsed="false"/>
    <row r="62235" customFormat="false" ht="12.75" hidden="false" customHeight="true" outlineLevel="0" collapsed="false"/>
    <row r="62236" customFormat="false" ht="12.75" hidden="false" customHeight="true" outlineLevel="0" collapsed="false"/>
    <row r="62237" customFormat="false" ht="12.75" hidden="false" customHeight="true" outlineLevel="0" collapsed="false"/>
    <row r="62238" customFormat="false" ht="12.75" hidden="false" customHeight="true" outlineLevel="0" collapsed="false"/>
    <row r="62239" customFormat="false" ht="12.75" hidden="false" customHeight="true" outlineLevel="0" collapsed="false"/>
    <row r="62240" customFormat="false" ht="12.75" hidden="false" customHeight="true" outlineLevel="0" collapsed="false"/>
    <row r="62241" customFormat="false" ht="12.75" hidden="false" customHeight="true" outlineLevel="0" collapsed="false"/>
    <row r="62242" customFormat="false" ht="12.75" hidden="false" customHeight="true" outlineLevel="0" collapsed="false"/>
    <row r="62243" customFormat="false" ht="12.75" hidden="false" customHeight="true" outlineLevel="0" collapsed="false"/>
    <row r="62244" customFormat="false" ht="12.75" hidden="false" customHeight="true" outlineLevel="0" collapsed="false"/>
    <row r="62245" customFormat="false" ht="12.75" hidden="false" customHeight="true" outlineLevel="0" collapsed="false"/>
    <row r="62246" customFormat="false" ht="12.75" hidden="false" customHeight="true" outlineLevel="0" collapsed="false"/>
    <row r="62247" customFormat="false" ht="12.75" hidden="false" customHeight="true" outlineLevel="0" collapsed="false"/>
    <row r="62248" customFormat="false" ht="12.75" hidden="false" customHeight="true" outlineLevel="0" collapsed="false"/>
    <row r="62249" customFormat="false" ht="12.75" hidden="false" customHeight="true" outlineLevel="0" collapsed="false"/>
    <row r="62250" customFormat="false" ht="12.75" hidden="false" customHeight="true" outlineLevel="0" collapsed="false"/>
    <row r="62251" customFormat="false" ht="12.75" hidden="false" customHeight="true" outlineLevel="0" collapsed="false"/>
    <row r="62252" customFormat="false" ht="12.75" hidden="false" customHeight="true" outlineLevel="0" collapsed="false"/>
    <row r="62253" customFormat="false" ht="12.75" hidden="false" customHeight="true" outlineLevel="0" collapsed="false"/>
    <row r="62254" customFormat="false" ht="12.75" hidden="false" customHeight="true" outlineLevel="0" collapsed="false"/>
    <row r="62255" customFormat="false" ht="12.75" hidden="false" customHeight="true" outlineLevel="0" collapsed="false"/>
    <row r="62256" customFormat="false" ht="12.75" hidden="false" customHeight="true" outlineLevel="0" collapsed="false"/>
    <row r="62257" customFormat="false" ht="12.75" hidden="false" customHeight="true" outlineLevel="0" collapsed="false"/>
    <row r="62258" customFormat="false" ht="12.75" hidden="false" customHeight="true" outlineLevel="0" collapsed="false"/>
    <row r="62259" customFormat="false" ht="12.75" hidden="false" customHeight="true" outlineLevel="0" collapsed="false"/>
    <row r="62260" customFormat="false" ht="12.75" hidden="false" customHeight="true" outlineLevel="0" collapsed="false"/>
    <row r="62261" customFormat="false" ht="12.75" hidden="false" customHeight="true" outlineLevel="0" collapsed="false"/>
    <row r="62262" customFormat="false" ht="12.75" hidden="false" customHeight="true" outlineLevel="0" collapsed="false"/>
    <row r="62263" customFormat="false" ht="12.75" hidden="false" customHeight="true" outlineLevel="0" collapsed="false"/>
    <row r="62264" customFormat="false" ht="12.75" hidden="false" customHeight="true" outlineLevel="0" collapsed="false"/>
    <row r="62265" customFormat="false" ht="12.75" hidden="false" customHeight="true" outlineLevel="0" collapsed="false"/>
    <row r="62266" customFormat="false" ht="12.75" hidden="false" customHeight="true" outlineLevel="0" collapsed="false"/>
    <row r="62267" customFormat="false" ht="12.75" hidden="false" customHeight="true" outlineLevel="0" collapsed="false"/>
    <row r="62268" customFormat="false" ht="12.75" hidden="false" customHeight="true" outlineLevel="0" collapsed="false"/>
    <row r="62269" customFormat="false" ht="12.75" hidden="false" customHeight="true" outlineLevel="0" collapsed="false"/>
    <row r="62270" customFormat="false" ht="12.75" hidden="false" customHeight="true" outlineLevel="0" collapsed="false"/>
    <row r="62271" customFormat="false" ht="12.75" hidden="false" customHeight="true" outlineLevel="0" collapsed="false"/>
    <row r="62272" customFormat="false" ht="12.75" hidden="false" customHeight="true" outlineLevel="0" collapsed="false"/>
    <row r="62273" customFormat="false" ht="12.75" hidden="false" customHeight="true" outlineLevel="0" collapsed="false"/>
    <row r="62274" customFormat="false" ht="12.75" hidden="false" customHeight="true" outlineLevel="0" collapsed="false"/>
    <row r="62275" customFormat="false" ht="12.75" hidden="false" customHeight="true" outlineLevel="0" collapsed="false"/>
    <row r="62276" customFormat="false" ht="12.75" hidden="false" customHeight="true" outlineLevel="0" collapsed="false"/>
    <row r="62277" customFormat="false" ht="12.75" hidden="false" customHeight="true" outlineLevel="0" collapsed="false"/>
    <row r="62278" customFormat="false" ht="12.75" hidden="false" customHeight="true" outlineLevel="0" collapsed="false"/>
    <row r="62279" customFormat="false" ht="12.75" hidden="false" customHeight="true" outlineLevel="0" collapsed="false"/>
    <row r="62280" customFormat="false" ht="12.75" hidden="false" customHeight="true" outlineLevel="0" collapsed="false"/>
    <row r="62281" customFormat="false" ht="12.75" hidden="false" customHeight="true" outlineLevel="0" collapsed="false"/>
    <row r="62282" customFormat="false" ht="12.75" hidden="false" customHeight="true" outlineLevel="0" collapsed="false"/>
    <row r="62283" customFormat="false" ht="12.75" hidden="false" customHeight="true" outlineLevel="0" collapsed="false"/>
    <row r="62284" customFormat="false" ht="12.75" hidden="false" customHeight="true" outlineLevel="0" collapsed="false"/>
    <row r="62285" customFormat="false" ht="12.75" hidden="false" customHeight="true" outlineLevel="0" collapsed="false"/>
    <row r="62286" customFormat="false" ht="12.75" hidden="false" customHeight="true" outlineLevel="0" collapsed="false"/>
    <row r="62287" customFormat="false" ht="12.75" hidden="false" customHeight="true" outlineLevel="0" collapsed="false"/>
    <row r="62288" customFormat="false" ht="12.75" hidden="false" customHeight="true" outlineLevel="0" collapsed="false"/>
    <row r="62289" customFormat="false" ht="12.75" hidden="false" customHeight="true" outlineLevel="0" collapsed="false"/>
    <row r="62290" customFormat="false" ht="12.75" hidden="false" customHeight="true" outlineLevel="0" collapsed="false"/>
    <row r="62291" customFormat="false" ht="12.75" hidden="false" customHeight="true" outlineLevel="0" collapsed="false"/>
    <row r="62292" customFormat="false" ht="12.75" hidden="false" customHeight="true" outlineLevel="0" collapsed="false"/>
    <row r="62293" customFormat="false" ht="12.75" hidden="false" customHeight="true" outlineLevel="0" collapsed="false"/>
    <row r="62294" customFormat="false" ht="12.75" hidden="false" customHeight="true" outlineLevel="0" collapsed="false"/>
    <row r="62295" customFormat="false" ht="12.75" hidden="false" customHeight="true" outlineLevel="0" collapsed="false"/>
    <row r="62296" customFormat="false" ht="12.75" hidden="false" customHeight="true" outlineLevel="0" collapsed="false"/>
    <row r="62297" customFormat="false" ht="12.75" hidden="false" customHeight="true" outlineLevel="0" collapsed="false"/>
    <row r="62298" customFormat="false" ht="12.75" hidden="false" customHeight="true" outlineLevel="0" collapsed="false"/>
    <row r="62299" customFormat="false" ht="12.75" hidden="false" customHeight="true" outlineLevel="0" collapsed="false"/>
    <row r="62300" customFormat="false" ht="12.75" hidden="false" customHeight="true" outlineLevel="0" collapsed="false"/>
    <row r="62301" customFormat="false" ht="12.75" hidden="false" customHeight="true" outlineLevel="0" collapsed="false"/>
    <row r="62302" customFormat="false" ht="12.75" hidden="false" customHeight="true" outlineLevel="0" collapsed="false"/>
    <row r="62303" customFormat="false" ht="12.75" hidden="false" customHeight="true" outlineLevel="0" collapsed="false"/>
    <row r="62304" customFormat="false" ht="12.75" hidden="false" customHeight="true" outlineLevel="0" collapsed="false"/>
    <row r="62305" customFormat="false" ht="12.75" hidden="false" customHeight="true" outlineLevel="0" collapsed="false"/>
    <row r="62306" customFormat="false" ht="12.75" hidden="false" customHeight="true" outlineLevel="0" collapsed="false"/>
    <row r="62307" customFormat="false" ht="12.75" hidden="false" customHeight="true" outlineLevel="0" collapsed="false"/>
    <row r="62308" customFormat="false" ht="12.75" hidden="false" customHeight="true" outlineLevel="0" collapsed="false"/>
    <row r="62309" customFormat="false" ht="12.75" hidden="false" customHeight="true" outlineLevel="0" collapsed="false"/>
    <row r="62310" customFormat="false" ht="12.75" hidden="false" customHeight="true" outlineLevel="0" collapsed="false"/>
    <row r="62311" customFormat="false" ht="12.75" hidden="false" customHeight="true" outlineLevel="0" collapsed="false"/>
    <row r="62312" customFormat="false" ht="12.75" hidden="false" customHeight="true" outlineLevel="0" collapsed="false"/>
    <row r="62313" customFormat="false" ht="12.75" hidden="false" customHeight="true" outlineLevel="0" collapsed="false"/>
    <row r="62314" customFormat="false" ht="12.75" hidden="false" customHeight="true" outlineLevel="0" collapsed="false"/>
    <row r="62315" customFormat="false" ht="12.75" hidden="false" customHeight="true" outlineLevel="0" collapsed="false"/>
    <row r="62316" customFormat="false" ht="12.75" hidden="false" customHeight="true" outlineLevel="0" collapsed="false"/>
    <row r="62317" customFormat="false" ht="12.75" hidden="false" customHeight="true" outlineLevel="0" collapsed="false"/>
    <row r="62318" customFormat="false" ht="12.75" hidden="false" customHeight="true" outlineLevel="0" collapsed="false"/>
    <row r="62319" customFormat="false" ht="12.75" hidden="false" customHeight="true" outlineLevel="0" collapsed="false"/>
    <row r="62320" customFormat="false" ht="12.75" hidden="false" customHeight="true" outlineLevel="0" collapsed="false"/>
    <row r="62321" customFormat="false" ht="12.75" hidden="false" customHeight="true" outlineLevel="0" collapsed="false"/>
    <row r="62322" customFormat="false" ht="12.75" hidden="false" customHeight="true" outlineLevel="0" collapsed="false"/>
    <row r="62323" customFormat="false" ht="12.75" hidden="false" customHeight="true" outlineLevel="0" collapsed="false"/>
    <row r="62324" customFormat="false" ht="12.75" hidden="false" customHeight="true" outlineLevel="0" collapsed="false"/>
    <row r="62325" customFormat="false" ht="12.75" hidden="false" customHeight="true" outlineLevel="0" collapsed="false"/>
    <row r="62326" customFormat="false" ht="12.75" hidden="false" customHeight="true" outlineLevel="0" collapsed="false"/>
    <row r="62327" customFormat="false" ht="12.75" hidden="false" customHeight="true" outlineLevel="0" collapsed="false"/>
    <row r="62328" customFormat="false" ht="12.75" hidden="false" customHeight="true" outlineLevel="0" collapsed="false"/>
    <row r="62329" customFormat="false" ht="12.75" hidden="false" customHeight="true" outlineLevel="0" collapsed="false"/>
    <row r="62330" customFormat="false" ht="12.75" hidden="false" customHeight="true" outlineLevel="0" collapsed="false"/>
    <row r="62331" customFormat="false" ht="12.75" hidden="false" customHeight="true" outlineLevel="0" collapsed="false"/>
    <row r="62332" customFormat="false" ht="12.75" hidden="false" customHeight="true" outlineLevel="0" collapsed="false"/>
    <row r="62333" customFormat="false" ht="12.75" hidden="false" customHeight="true" outlineLevel="0" collapsed="false"/>
    <row r="62334" customFormat="false" ht="12.75" hidden="false" customHeight="true" outlineLevel="0" collapsed="false"/>
    <row r="62335" customFormat="false" ht="12.75" hidden="false" customHeight="true" outlineLevel="0" collapsed="false"/>
    <row r="62336" customFormat="false" ht="12.75" hidden="false" customHeight="true" outlineLevel="0" collapsed="false"/>
    <row r="62337" customFormat="false" ht="12.75" hidden="false" customHeight="true" outlineLevel="0" collapsed="false"/>
    <row r="62338" customFormat="false" ht="12.75" hidden="false" customHeight="true" outlineLevel="0" collapsed="false"/>
    <row r="62339" customFormat="false" ht="12.75" hidden="false" customHeight="true" outlineLevel="0" collapsed="false"/>
    <row r="62340" customFormat="false" ht="12.75" hidden="false" customHeight="true" outlineLevel="0" collapsed="false"/>
    <row r="62341" customFormat="false" ht="12.75" hidden="false" customHeight="true" outlineLevel="0" collapsed="false"/>
    <row r="62342" customFormat="false" ht="12.75" hidden="false" customHeight="true" outlineLevel="0" collapsed="false"/>
    <row r="62343" customFormat="false" ht="12.75" hidden="false" customHeight="true" outlineLevel="0" collapsed="false"/>
    <row r="62344" customFormat="false" ht="12.75" hidden="false" customHeight="true" outlineLevel="0" collapsed="false"/>
    <row r="62345" customFormat="false" ht="12.75" hidden="false" customHeight="true" outlineLevel="0" collapsed="false"/>
    <row r="62346" customFormat="false" ht="12.75" hidden="false" customHeight="true" outlineLevel="0" collapsed="false"/>
    <row r="62347" customFormat="false" ht="12.75" hidden="false" customHeight="true" outlineLevel="0" collapsed="false"/>
    <row r="62348" customFormat="false" ht="12.75" hidden="false" customHeight="true" outlineLevel="0" collapsed="false"/>
    <row r="62349" customFormat="false" ht="12.75" hidden="false" customHeight="true" outlineLevel="0" collapsed="false"/>
    <row r="62350" customFormat="false" ht="12.75" hidden="false" customHeight="true" outlineLevel="0" collapsed="false"/>
    <row r="62351" customFormat="false" ht="12.75" hidden="false" customHeight="true" outlineLevel="0" collapsed="false"/>
    <row r="62352" customFormat="false" ht="12.75" hidden="false" customHeight="true" outlineLevel="0" collapsed="false"/>
    <row r="62353" customFormat="false" ht="12.75" hidden="false" customHeight="true" outlineLevel="0" collapsed="false"/>
    <row r="62354" customFormat="false" ht="12.75" hidden="false" customHeight="true" outlineLevel="0" collapsed="false"/>
    <row r="62355" customFormat="false" ht="12.75" hidden="false" customHeight="true" outlineLevel="0" collapsed="false"/>
    <row r="62356" customFormat="false" ht="12.75" hidden="false" customHeight="true" outlineLevel="0" collapsed="false"/>
    <row r="62357" customFormat="false" ht="12.75" hidden="false" customHeight="true" outlineLevel="0" collapsed="false"/>
    <row r="62358" customFormat="false" ht="12.75" hidden="false" customHeight="true" outlineLevel="0" collapsed="false"/>
    <row r="62359" customFormat="false" ht="12.75" hidden="false" customHeight="true" outlineLevel="0" collapsed="false"/>
    <row r="62360" customFormat="false" ht="12.75" hidden="false" customHeight="true" outlineLevel="0" collapsed="false"/>
    <row r="62361" customFormat="false" ht="12.75" hidden="false" customHeight="true" outlineLevel="0" collapsed="false"/>
    <row r="62362" customFormat="false" ht="12.75" hidden="false" customHeight="true" outlineLevel="0" collapsed="false"/>
    <row r="62363" customFormat="false" ht="12.75" hidden="false" customHeight="true" outlineLevel="0" collapsed="false"/>
    <row r="62364" customFormat="false" ht="12.75" hidden="false" customHeight="true" outlineLevel="0" collapsed="false"/>
    <row r="62365" customFormat="false" ht="12.75" hidden="false" customHeight="true" outlineLevel="0" collapsed="false"/>
    <row r="62366" customFormat="false" ht="12.75" hidden="false" customHeight="true" outlineLevel="0" collapsed="false"/>
    <row r="62367" customFormat="false" ht="12.75" hidden="false" customHeight="true" outlineLevel="0" collapsed="false"/>
    <row r="62368" customFormat="false" ht="12.75" hidden="false" customHeight="true" outlineLevel="0" collapsed="false"/>
    <row r="62369" customFormat="false" ht="12.75" hidden="false" customHeight="true" outlineLevel="0" collapsed="false"/>
    <row r="62370" customFormat="false" ht="12.75" hidden="false" customHeight="true" outlineLevel="0" collapsed="false"/>
    <row r="62371" customFormat="false" ht="12.75" hidden="false" customHeight="true" outlineLevel="0" collapsed="false"/>
    <row r="62372" customFormat="false" ht="12.75" hidden="false" customHeight="true" outlineLevel="0" collapsed="false"/>
    <row r="62373" customFormat="false" ht="12.75" hidden="false" customHeight="true" outlineLevel="0" collapsed="false"/>
    <row r="62374" customFormat="false" ht="12.75" hidden="false" customHeight="true" outlineLevel="0" collapsed="false"/>
    <row r="62375" customFormat="false" ht="12.75" hidden="false" customHeight="true" outlineLevel="0" collapsed="false"/>
    <row r="62376" customFormat="false" ht="12.75" hidden="false" customHeight="true" outlineLevel="0" collapsed="false"/>
    <row r="62377" customFormat="false" ht="12.75" hidden="false" customHeight="true" outlineLevel="0" collapsed="false"/>
    <row r="62378" customFormat="false" ht="12.75" hidden="false" customHeight="true" outlineLevel="0" collapsed="false"/>
    <row r="62379" customFormat="false" ht="12.75" hidden="false" customHeight="true" outlineLevel="0" collapsed="false"/>
    <row r="62380" customFormat="false" ht="12.75" hidden="false" customHeight="true" outlineLevel="0" collapsed="false"/>
    <row r="62381" customFormat="false" ht="12.75" hidden="false" customHeight="true" outlineLevel="0" collapsed="false"/>
    <row r="62382" customFormat="false" ht="12.75" hidden="false" customHeight="true" outlineLevel="0" collapsed="false"/>
    <row r="62383" customFormat="false" ht="12.75" hidden="false" customHeight="true" outlineLevel="0" collapsed="false"/>
    <row r="62384" customFormat="false" ht="12.75" hidden="false" customHeight="true" outlineLevel="0" collapsed="false"/>
    <row r="62385" customFormat="false" ht="12.75" hidden="false" customHeight="true" outlineLevel="0" collapsed="false"/>
    <row r="62386" customFormat="false" ht="12.75" hidden="false" customHeight="true" outlineLevel="0" collapsed="false"/>
    <row r="62387" customFormat="false" ht="12.75" hidden="false" customHeight="true" outlineLevel="0" collapsed="false"/>
    <row r="62388" customFormat="false" ht="12.75" hidden="false" customHeight="true" outlineLevel="0" collapsed="false"/>
    <row r="62389" customFormat="false" ht="12.75" hidden="false" customHeight="true" outlineLevel="0" collapsed="false"/>
    <row r="62390" customFormat="false" ht="12.75" hidden="false" customHeight="true" outlineLevel="0" collapsed="false"/>
    <row r="62391" customFormat="false" ht="12.75" hidden="false" customHeight="true" outlineLevel="0" collapsed="false"/>
    <row r="62392" customFormat="false" ht="12.75" hidden="false" customHeight="true" outlineLevel="0" collapsed="false"/>
    <row r="62393" customFormat="false" ht="12.75" hidden="false" customHeight="true" outlineLevel="0" collapsed="false"/>
    <row r="62394" customFormat="false" ht="12.75" hidden="false" customHeight="true" outlineLevel="0" collapsed="false"/>
    <row r="62395" customFormat="false" ht="12.75" hidden="false" customHeight="true" outlineLevel="0" collapsed="false"/>
    <row r="62396" customFormat="false" ht="12.75" hidden="false" customHeight="true" outlineLevel="0" collapsed="false"/>
    <row r="62397" customFormat="false" ht="12.75" hidden="false" customHeight="true" outlineLevel="0" collapsed="false"/>
    <row r="62398" customFormat="false" ht="12.75" hidden="false" customHeight="true" outlineLevel="0" collapsed="false"/>
    <row r="62399" customFormat="false" ht="12.75" hidden="false" customHeight="true" outlineLevel="0" collapsed="false"/>
    <row r="62400" customFormat="false" ht="12.75" hidden="false" customHeight="true" outlineLevel="0" collapsed="false"/>
    <row r="62401" customFormat="false" ht="12.75" hidden="false" customHeight="true" outlineLevel="0" collapsed="false"/>
    <row r="62402" customFormat="false" ht="12.75" hidden="false" customHeight="true" outlineLevel="0" collapsed="false"/>
    <row r="62403" customFormat="false" ht="12.75" hidden="false" customHeight="true" outlineLevel="0" collapsed="false"/>
    <row r="62404" customFormat="false" ht="12.75" hidden="false" customHeight="true" outlineLevel="0" collapsed="false"/>
    <row r="62405" customFormat="false" ht="12.75" hidden="false" customHeight="true" outlineLevel="0" collapsed="false"/>
    <row r="62406" customFormat="false" ht="12.75" hidden="false" customHeight="true" outlineLevel="0" collapsed="false"/>
    <row r="62407" customFormat="false" ht="12.75" hidden="false" customHeight="true" outlineLevel="0" collapsed="false"/>
    <row r="62408" customFormat="false" ht="12.75" hidden="false" customHeight="true" outlineLevel="0" collapsed="false"/>
    <row r="62409" customFormat="false" ht="12.75" hidden="false" customHeight="true" outlineLevel="0" collapsed="false"/>
    <row r="62410" customFormat="false" ht="12.75" hidden="false" customHeight="true" outlineLevel="0" collapsed="false"/>
    <row r="62411" customFormat="false" ht="12.75" hidden="false" customHeight="true" outlineLevel="0" collapsed="false"/>
    <row r="62412" customFormat="false" ht="12.75" hidden="false" customHeight="true" outlineLevel="0" collapsed="false"/>
    <row r="62413" customFormat="false" ht="12.75" hidden="false" customHeight="true" outlineLevel="0" collapsed="false"/>
    <row r="62414" customFormat="false" ht="12.75" hidden="false" customHeight="true" outlineLevel="0" collapsed="false"/>
    <row r="62415" customFormat="false" ht="12.75" hidden="false" customHeight="true" outlineLevel="0" collapsed="false"/>
    <row r="62416" customFormat="false" ht="12.75" hidden="false" customHeight="true" outlineLevel="0" collapsed="false"/>
    <row r="62417" customFormat="false" ht="12.75" hidden="false" customHeight="true" outlineLevel="0" collapsed="false"/>
    <row r="62418" customFormat="false" ht="12.75" hidden="false" customHeight="true" outlineLevel="0" collapsed="false"/>
    <row r="62419" customFormat="false" ht="12.75" hidden="false" customHeight="true" outlineLevel="0" collapsed="false"/>
    <row r="62420" customFormat="false" ht="12.75" hidden="false" customHeight="true" outlineLevel="0" collapsed="false"/>
    <row r="62421" customFormat="false" ht="12.75" hidden="false" customHeight="true" outlineLevel="0" collapsed="false"/>
    <row r="62422" customFormat="false" ht="12.75" hidden="false" customHeight="true" outlineLevel="0" collapsed="false"/>
    <row r="62423" customFormat="false" ht="12.75" hidden="false" customHeight="true" outlineLevel="0" collapsed="false"/>
    <row r="62424" customFormat="false" ht="12.75" hidden="false" customHeight="true" outlineLevel="0" collapsed="false"/>
    <row r="62425" customFormat="false" ht="12.75" hidden="false" customHeight="true" outlineLevel="0" collapsed="false"/>
    <row r="62426" customFormat="false" ht="12.75" hidden="false" customHeight="true" outlineLevel="0" collapsed="false"/>
    <row r="62427" customFormat="false" ht="12.75" hidden="false" customHeight="true" outlineLevel="0" collapsed="false"/>
    <row r="62428" customFormat="false" ht="12.75" hidden="false" customHeight="true" outlineLevel="0" collapsed="false"/>
    <row r="62429" customFormat="false" ht="12.75" hidden="false" customHeight="true" outlineLevel="0" collapsed="false"/>
    <row r="62430" customFormat="false" ht="12.75" hidden="false" customHeight="true" outlineLevel="0" collapsed="false"/>
    <row r="62431" customFormat="false" ht="12.75" hidden="false" customHeight="true" outlineLevel="0" collapsed="false"/>
    <row r="62432" customFormat="false" ht="12.75" hidden="false" customHeight="true" outlineLevel="0" collapsed="false"/>
    <row r="62433" customFormat="false" ht="12.75" hidden="false" customHeight="true" outlineLevel="0" collapsed="false"/>
    <row r="62434" customFormat="false" ht="12.75" hidden="false" customHeight="true" outlineLevel="0" collapsed="false"/>
    <row r="62435" customFormat="false" ht="12.75" hidden="false" customHeight="true" outlineLevel="0" collapsed="false"/>
    <row r="62436" customFormat="false" ht="12.75" hidden="false" customHeight="true" outlineLevel="0" collapsed="false"/>
    <row r="62437" customFormat="false" ht="12.75" hidden="false" customHeight="true" outlineLevel="0" collapsed="false"/>
    <row r="62438" customFormat="false" ht="12.75" hidden="false" customHeight="true" outlineLevel="0" collapsed="false"/>
    <row r="62439" customFormat="false" ht="12.75" hidden="false" customHeight="true" outlineLevel="0" collapsed="false"/>
    <row r="62440" customFormat="false" ht="12.75" hidden="false" customHeight="true" outlineLevel="0" collapsed="false"/>
    <row r="62441" customFormat="false" ht="12.75" hidden="false" customHeight="true" outlineLevel="0" collapsed="false"/>
    <row r="62442" customFormat="false" ht="12.75" hidden="false" customHeight="true" outlineLevel="0" collapsed="false"/>
    <row r="62443" customFormat="false" ht="12.75" hidden="false" customHeight="true" outlineLevel="0" collapsed="false"/>
    <row r="62444" customFormat="false" ht="12.75" hidden="false" customHeight="true" outlineLevel="0" collapsed="false"/>
    <row r="62445" customFormat="false" ht="12.75" hidden="false" customHeight="true" outlineLevel="0" collapsed="false"/>
    <row r="62446" customFormat="false" ht="12.75" hidden="false" customHeight="true" outlineLevel="0" collapsed="false"/>
    <row r="62447" customFormat="false" ht="12.75" hidden="false" customHeight="true" outlineLevel="0" collapsed="false"/>
    <row r="62448" customFormat="false" ht="12.75" hidden="false" customHeight="true" outlineLevel="0" collapsed="false"/>
    <row r="62449" customFormat="false" ht="12.75" hidden="false" customHeight="true" outlineLevel="0" collapsed="false"/>
    <row r="62450" customFormat="false" ht="12.75" hidden="false" customHeight="true" outlineLevel="0" collapsed="false"/>
    <row r="62451" customFormat="false" ht="12.75" hidden="false" customHeight="true" outlineLevel="0" collapsed="false"/>
    <row r="62452" customFormat="false" ht="12.75" hidden="false" customHeight="true" outlineLevel="0" collapsed="false"/>
    <row r="62453" customFormat="false" ht="12.75" hidden="false" customHeight="true" outlineLevel="0" collapsed="false"/>
    <row r="62454" customFormat="false" ht="12.75" hidden="false" customHeight="true" outlineLevel="0" collapsed="false"/>
    <row r="62455" customFormat="false" ht="12.75" hidden="false" customHeight="true" outlineLevel="0" collapsed="false"/>
    <row r="62456" customFormat="false" ht="12.75" hidden="false" customHeight="true" outlineLevel="0" collapsed="false"/>
    <row r="62457" customFormat="false" ht="12.75" hidden="false" customHeight="true" outlineLevel="0" collapsed="false"/>
    <row r="62458" customFormat="false" ht="12.75" hidden="false" customHeight="true" outlineLevel="0" collapsed="false"/>
    <row r="62459" customFormat="false" ht="12.75" hidden="false" customHeight="true" outlineLevel="0" collapsed="false"/>
    <row r="62460" customFormat="false" ht="12.75" hidden="false" customHeight="true" outlineLevel="0" collapsed="false"/>
    <row r="62461" customFormat="false" ht="12.75" hidden="false" customHeight="true" outlineLevel="0" collapsed="false"/>
    <row r="62462" customFormat="false" ht="12.75" hidden="false" customHeight="true" outlineLevel="0" collapsed="false"/>
    <row r="62463" customFormat="false" ht="12.75" hidden="false" customHeight="true" outlineLevel="0" collapsed="false"/>
    <row r="62464" customFormat="false" ht="12.75" hidden="false" customHeight="true" outlineLevel="0" collapsed="false"/>
    <row r="62465" customFormat="false" ht="12.75" hidden="false" customHeight="true" outlineLevel="0" collapsed="false"/>
    <row r="62466" customFormat="false" ht="12.75" hidden="false" customHeight="true" outlineLevel="0" collapsed="false"/>
    <row r="62467" customFormat="false" ht="12.75" hidden="false" customHeight="true" outlineLevel="0" collapsed="false"/>
    <row r="62468" customFormat="false" ht="12.75" hidden="false" customHeight="true" outlineLevel="0" collapsed="false"/>
    <row r="62469" customFormat="false" ht="12.75" hidden="false" customHeight="true" outlineLevel="0" collapsed="false"/>
    <row r="62470" customFormat="false" ht="12.75" hidden="false" customHeight="true" outlineLevel="0" collapsed="false"/>
    <row r="62471" customFormat="false" ht="12.75" hidden="false" customHeight="true" outlineLevel="0" collapsed="false"/>
    <row r="62472" customFormat="false" ht="12.75" hidden="false" customHeight="true" outlineLevel="0" collapsed="false"/>
    <row r="62473" customFormat="false" ht="12.75" hidden="false" customHeight="true" outlineLevel="0" collapsed="false"/>
    <row r="62474" customFormat="false" ht="12.75" hidden="false" customHeight="true" outlineLevel="0" collapsed="false"/>
    <row r="62475" customFormat="false" ht="12.75" hidden="false" customHeight="true" outlineLevel="0" collapsed="false"/>
    <row r="62476" customFormat="false" ht="12.75" hidden="false" customHeight="true" outlineLevel="0" collapsed="false"/>
    <row r="62477" customFormat="false" ht="12.75" hidden="false" customHeight="true" outlineLevel="0" collapsed="false"/>
    <row r="62478" customFormat="false" ht="12.75" hidden="false" customHeight="true" outlineLevel="0" collapsed="false"/>
    <row r="62479" customFormat="false" ht="12.75" hidden="false" customHeight="true" outlineLevel="0" collapsed="false"/>
    <row r="62480" customFormat="false" ht="12.75" hidden="false" customHeight="true" outlineLevel="0" collapsed="false"/>
    <row r="62481" customFormat="false" ht="12.75" hidden="false" customHeight="true" outlineLevel="0" collapsed="false"/>
    <row r="62482" customFormat="false" ht="12.75" hidden="false" customHeight="true" outlineLevel="0" collapsed="false"/>
    <row r="62483" customFormat="false" ht="12.75" hidden="false" customHeight="true" outlineLevel="0" collapsed="false"/>
    <row r="62484" customFormat="false" ht="12.75" hidden="false" customHeight="true" outlineLevel="0" collapsed="false"/>
    <row r="62485" customFormat="false" ht="12.75" hidden="false" customHeight="true" outlineLevel="0" collapsed="false"/>
    <row r="62486" customFormat="false" ht="12.75" hidden="false" customHeight="true" outlineLevel="0" collapsed="false"/>
    <row r="62487" customFormat="false" ht="12.75" hidden="false" customHeight="true" outlineLevel="0" collapsed="false"/>
    <row r="62488" customFormat="false" ht="12.75" hidden="false" customHeight="true" outlineLevel="0" collapsed="false"/>
    <row r="62489" customFormat="false" ht="12.75" hidden="false" customHeight="true" outlineLevel="0" collapsed="false"/>
    <row r="62490" customFormat="false" ht="12.75" hidden="false" customHeight="true" outlineLevel="0" collapsed="false"/>
    <row r="62491" customFormat="false" ht="12.75" hidden="false" customHeight="true" outlineLevel="0" collapsed="false"/>
    <row r="62492" customFormat="false" ht="12.75" hidden="false" customHeight="true" outlineLevel="0" collapsed="false"/>
    <row r="62493" customFormat="false" ht="12.75" hidden="false" customHeight="true" outlineLevel="0" collapsed="false"/>
    <row r="62494" customFormat="false" ht="12.75" hidden="false" customHeight="true" outlineLevel="0" collapsed="false"/>
    <row r="62495" customFormat="false" ht="12.75" hidden="false" customHeight="true" outlineLevel="0" collapsed="false"/>
    <row r="62496" customFormat="false" ht="12.75" hidden="false" customHeight="true" outlineLevel="0" collapsed="false"/>
    <row r="62497" customFormat="false" ht="12.75" hidden="false" customHeight="true" outlineLevel="0" collapsed="false"/>
    <row r="62498" customFormat="false" ht="12.75" hidden="false" customHeight="true" outlineLevel="0" collapsed="false"/>
    <row r="62499" customFormat="false" ht="12.75" hidden="false" customHeight="true" outlineLevel="0" collapsed="false"/>
    <row r="62500" customFormat="false" ht="12.75" hidden="false" customHeight="true" outlineLevel="0" collapsed="false"/>
    <row r="62501" customFormat="false" ht="12.75" hidden="false" customHeight="true" outlineLevel="0" collapsed="false"/>
    <row r="62502" customFormat="false" ht="12.75" hidden="false" customHeight="true" outlineLevel="0" collapsed="false"/>
    <row r="62503" customFormat="false" ht="12.75" hidden="false" customHeight="true" outlineLevel="0" collapsed="false"/>
    <row r="62504" customFormat="false" ht="12.75" hidden="false" customHeight="true" outlineLevel="0" collapsed="false"/>
    <row r="62505" customFormat="false" ht="12.75" hidden="false" customHeight="true" outlineLevel="0" collapsed="false"/>
    <row r="62506" customFormat="false" ht="12.75" hidden="false" customHeight="true" outlineLevel="0" collapsed="false"/>
    <row r="62507" customFormat="false" ht="12.75" hidden="false" customHeight="true" outlineLevel="0" collapsed="false"/>
    <row r="62508" customFormat="false" ht="12.75" hidden="false" customHeight="true" outlineLevel="0" collapsed="false"/>
    <row r="62509" customFormat="false" ht="12.75" hidden="false" customHeight="true" outlineLevel="0" collapsed="false"/>
    <row r="62510" customFormat="false" ht="12.75" hidden="false" customHeight="true" outlineLevel="0" collapsed="false"/>
    <row r="62511" customFormat="false" ht="12.75" hidden="false" customHeight="true" outlineLevel="0" collapsed="false"/>
    <row r="62512" customFormat="false" ht="12.75" hidden="false" customHeight="true" outlineLevel="0" collapsed="false"/>
    <row r="62513" customFormat="false" ht="12.75" hidden="false" customHeight="true" outlineLevel="0" collapsed="false"/>
    <row r="62514" customFormat="false" ht="12.75" hidden="false" customHeight="true" outlineLevel="0" collapsed="false"/>
    <row r="62515" customFormat="false" ht="12.75" hidden="false" customHeight="true" outlineLevel="0" collapsed="false"/>
    <row r="62516" customFormat="false" ht="12.75" hidden="false" customHeight="true" outlineLevel="0" collapsed="false"/>
    <row r="62517" customFormat="false" ht="12.75" hidden="false" customHeight="true" outlineLevel="0" collapsed="false"/>
    <row r="62518" customFormat="false" ht="12.75" hidden="false" customHeight="true" outlineLevel="0" collapsed="false"/>
    <row r="62519" customFormat="false" ht="12.75" hidden="false" customHeight="true" outlineLevel="0" collapsed="false"/>
    <row r="62520" customFormat="false" ht="12.75" hidden="false" customHeight="true" outlineLevel="0" collapsed="false"/>
    <row r="62521" customFormat="false" ht="12.75" hidden="false" customHeight="true" outlineLevel="0" collapsed="false"/>
    <row r="62522" customFormat="false" ht="12.75" hidden="false" customHeight="true" outlineLevel="0" collapsed="false"/>
    <row r="62523" customFormat="false" ht="12.75" hidden="false" customHeight="true" outlineLevel="0" collapsed="false"/>
    <row r="62524" customFormat="false" ht="12.75" hidden="false" customHeight="true" outlineLevel="0" collapsed="false"/>
    <row r="62525" customFormat="false" ht="12.75" hidden="false" customHeight="true" outlineLevel="0" collapsed="false"/>
    <row r="62526" customFormat="false" ht="12.75" hidden="false" customHeight="true" outlineLevel="0" collapsed="false"/>
    <row r="62527" customFormat="false" ht="12.75" hidden="false" customHeight="true" outlineLevel="0" collapsed="false"/>
    <row r="62528" customFormat="false" ht="12.75" hidden="false" customHeight="true" outlineLevel="0" collapsed="false"/>
    <row r="62529" customFormat="false" ht="12.75" hidden="false" customHeight="true" outlineLevel="0" collapsed="false"/>
    <row r="62530" customFormat="false" ht="12.75" hidden="false" customHeight="true" outlineLevel="0" collapsed="false"/>
    <row r="62531" customFormat="false" ht="12.75" hidden="false" customHeight="true" outlineLevel="0" collapsed="false"/>
    <row r="62532" customFormat="false" ht="12.75" hidden="false" customHeight="true" outlineLevel="0" collapsed="false"/>
    <row r="62533" customFormat="false" ht="12.75" hidden="false" customHeight="true" outlineLevel="0" collapsed="false"/>
    <row r="62534" customFormat="false" ht="12.75" hidden="false" customHeight="true" outlineLevel="0" collapsed="false"/>
    <row r="62535" customFormat="false" ht="12.75" hidden="false" customHeight="true" outlineLevel="0" collapsed="false"/>
    <row r="62536" customFormat="false" ht="12.75" hidden="false" customHeight="true" outlineLevel="0" collapsed="false"/>
    <row r="62537" customFormat="false" ht="12.75" hidden="false" customHeight="true" outlineLevel="0" collapsed="false"/>
    <row r="62538" customFormat="false" ht="12.75" hidden="false" customHeight="true" outlineLevel="0" collapsed="false"/>
    <row r="62539" customFormat="false" ht="12.75" hidden="false" customHeight="true" outlineLevel="0" collapsed="false"/>
    <row r="62540" customFormat="false" ht="12.75" hidden="false" customHeight="true" outlineLevel="0" collapsed="false"/>
    <row r="62541" customFormat="false" ht="12.75" hidden="false" customHeight="true" outlineLevel="0" collapsed="false"/>
    <row r="62542" customFormat="false" ht="12.75" hidden="false" customHeight="true" outlineLevel="0" collapsed="false"/>
    <row r="62543" customFormat="false" ht="12.75" hidden="false" customHeight="true" outlineLevel="0" collapsed="false"/>
    <row r="62544" customFormat="false" ht="12.75" hidden="false" customHeight="true" outlineLevel="0" collapsed="false"/>
    <row r="62545" customFormat="false" ht="12.75" hidden="false" customHeight="true" outlineLevel="0" collapsed="false"/>
    <row r="62546" customFormat="false" ht="12.75" hidden="false" customHeight="true" outlineLevel="0" collapsed="false"/>
    <row r="62547" customFormat="false" ht="12.75" hidden="false" customHeight="true" outlineLevel="0" collapsed="false"/>
    <row r="62548" customFormat="false" ht="12.75" hidden="false" customHeight="true" outlineLevel="0" collapsed="false"/>
    <row r="62549" customFormat="false" ht="12.75" hidden="false" customHeight="true" outlineLevel="0" collapsed="false"/>
    <row r="62550" customFormat="false" ht="12.75" hidden="false" customHeight="true" outlineLevel="0" collapsed="false"/>
    <row r="62551" customFormat="false" ht="12.75" hidden="false" customHeight="true" outlineLevel="0" collapsed="false"/>
    <row r="62552" customFormat="false" ht="12.75" hidden="false" customHeight="true" outlineLevel="0" collapsed="false"/>
    <row r="62553" customFormat="false" ht="12.75" hidden="false" customHeight="true" outlineLevel="0" collapsed="false"/>
    <row r="62554" customFormat="false" ht="12.75" hidden="false" customHeight="true" outlineLevel="0" collapsed="false"/>
    <row r="62555" customFormat="false" ht="12.75" hidden="false" customHeight="true" outlineLevel="0" collapsed="false"/>
    <row r="62556" customFormat="false" ht="12.75" hidden="false" customHeight="true" outlineLevel="0" collapsed="false"/>
    <row r="62557" customFormat="false" ht="12.75" hidden="false" customHeight="true" outlineLevel="0" collapsed="false"/>
    <row r="62558" customFormat="false" ht="12.75" hidden="false" customHeight="true" outlineLevel="0" collapsed="false"/>
    <row r="62559" customFormat="false" ht="12.75" hidden="false" customHeight="true" outlineLevel="0" collapsed="false"/>
    <row r="62560" customFormat="false" ht="12.75" hidden="false" customHeight="true" outlineLevel="0" collapsed="false"/>
    <row r="62561" customFormat="false" ht="12.75" hidden="false" customHeight="true" outlineLevel="0" collapsed="false"/>
    <row r="62562" customFormat="false" ht="12.75" hidden="false" customHeight="true" outlineLevel="0" collapsed="false"/>
    <row r="62563" customFormat="false" ht="12.75" hidden="false" customHeight="true" outlineLevel="0" collapsed="false"/>
    <row r="62564" customFormat="false" ht="12.75" hidden="false" customHeight="true" outlineLevel="0" collapsed="false"/>
    <row r="62565" customFormat="false" ht="12.75" hidden="false" customHeight="true" outlineLevel="0" collapsed="false"/>
    <row r="62566" customFormat="false" ht="12.75" hidden="false" customHeight="true" outlineLevel="0" collapsed="false"/>
    <row r="62567" customFormat="false" ht="12.75" hidden="false" customHeight="true" outlineLevel="0" collapsed="false"/>
    <row r="62568" customFormat="false" ht="12.75" hidden="false" customHeight="true" outlineLevel="0" collapsed="false"/>
    <row r="62569" customFormat="false" ht="12.75" hidden="false" customHeight="true" outlineLevel="0" collapsed="false"/>
    <row r="62570" customFormat="false" ht="12.75" hidden="false" customHeight="true" outlineLevel="0" collapsed="false"/>
    <row r="62571" customFormat="false" ht="12.75" hidden="false" customHeight="true" outlineLevel="0" collapsed="false"/>
    <row r="62572" customFormat="false" ht="12.75" hidden="false" customHeight="true" outlineLevel="0" collapsed="false"/>
    <row r="62573" customFormat="false" ht="12.75" hidden="false" customHeight="true" outlineLevel="0" collapsed="false"/>
    <row r="62574" customFormat="false" ht="12.75" hidden="false" customHeight="true" outlineLevel="0" collapsed="false"/>
    <row r="62575" customFormat="false" ht="12.75" hidden="false" customHeight="true" outlineLevel="0" collapsed="false"/>
    <row r="62576" customFormat="false" ht="12.75" hidden="false" customHeight="true" outlineLevel="0" collapsed="false"/>
    <row r="62577" customFormat="false" ht="12.75" hidden="false" customHeight="true" outlineLevel="0" collapsed="false"/>
    <row r="62578" customFormat="false" ht="12.75" hidden="false" customHeight="true" outlineLevel="0" collapsed="false"/>
    <row r="62579" customFormat="false" ht="12.75" hidden="false" customHeight="true" outlineLevel="0" collapsed="false"/>
    <row r="62580" customFormat="false" ht="12.75" hidden="false" customHeight="true" outlineLevel="0" collapsed="false"/>
    <row r="62581" customFormat="false" ht="12.75" hidden="false" customHeight="true" outlineLevel="0" collapsed="false"/>
    <row r="62582" customFormat="false" ht="12.75" hidden="false" customHeight="true" outlineLevel="0" collapsed="false"/>
    <row r="62583" customFormat="false" ht="12.75" hidden="false" customHeight="true" outlineLevel="0" collapsed="false"/>
    <row r="62584" customFormat="false" ht="12.75" hidden="false" customHeight="true" outlineLevel="0" collapsed="false"/>
    <row r="62585" customFormat="false" ht="12.75" hidden="false" customHeight="true" outlineLevel="0" collapsed="false"/>
    <row r="62586" customFormat="false" ht="12.75" hidden="false" customHeight="true" outlineLevel="0" collapsed="false"/>
    <row r="62587" customFormat="false" ht="12.75" hidden="false" customHeight="true" outlineLevel="0" collapsed="false"/>
    <row r="62588" customFormat="false" ht="12.75" hidden="false" customHeight="true" outlineLevel="0" collapsed="false"/>
    <row r="62589" customFormat="false" ht="12.75" hidden="false" customHeight="true" outlineLevel="0" collapsed="false"/>
    <row r="62590" customFormat="false" ht="12.75" hidden="false" customHeight="true" outlineLevel="0" collapsed="false"/>
    <row r="62591" customFormat="false" ht="12.75" hidden="false" customHeight="true" outlineLevel="0" collapsed="false"/>
    <row r="62592" customFormat="false" ht="12.75" hidden="false" customHeight="true" outlineLevel="0" collapsed="false"/>
    <row r="62593" customFormat="false" ht="12.75" hidden="false" customHeight="true" outlineLevel="0" collapsed="false"/>
    <row r="62594" customFormat="false" ht="12.75" hidden="false" customHeight="true" outlineLevel="0" collapsed="false"/>
    <row r="62595" customFormat="false" ht="12.75" hidden="false" customHeight="true" outlineLevel="0" collapsed="false"/>
    <row r="62596" customFormat="false" ht="12.75" hidden="false" customHeight="true" outlineLevel="0" collapsed="false"/>
    <row r="62597" customFormat="false" ht="12.75" hidden="false" customHeight="true" outlineLevel="0" collapsed="false"/>
    <row r="62598" customFormat="false" ht="12.75" hidden="false" customHeight="true" outlineLevel="0" collapsed="false"/>
    <row r="62599" customFormat="false" ht="12.75" hidden="false" customHeight="true" outlineLevel="0" collapsed="false"/>
    <row r="62600" customFormat="false" ht="12.75" hidden="false" customHeight="true" outlineLevel="0" collapsed="false"/>
    <row r="62601" customFormat="false" ht="12.75" hidden="false" customHeight="true" outlineLevel="0" collapsed="false"/>
    <row r="62602" customFormat="false" ht="12.75" hidden="false" customHeight="true" outlineLevel="0" collapsed="false"/>
    <row r="62603" customFormat="false" ht="12.75" hidden="false" customHeight="true" outlineLevel="0" collapsed="false"/>
    <row r="62604" customFormat="false" ht="12.75" hidden="false" customHeight="true" outlineLevel="0" collapsed="false"/>
    <row r="62605" customFormat="false" ht="12.75" hidden="false" customHeight="true" outlineLevel="0" collapsed="false"/>
    <row r="62606" customFormat="false" ht="12.75" hidden="false" customHeight="true" outlineLevel="0" collapsed="false"/>
    <row r="62607" customFormat="false" ht="12.75" hidden="false" customHeight="true" outlineLevel="0" collapsed="false"/>
    <row r="62608" customFormat="false" ht="12.75" hidden="false" customHeight="true" outlineLevel="0" collapsed="false"/>
    <row r="62609" customFormat="false" ht="12.75" hidden="false" customHeight="true" outlineLevel="0" collapsed="false"/>
    <row r="62610" customFormat="false" ht="12.75" hidden="false" customHeight="true" outlineLevel="0" collapsed="false"/>
    <row r="62611" customFormat="false" ht="12.75" hidden="false" customHeight="true" outlineLevel="0" collapsed="false"/>
    <row r="62612" customFormat="false" ht="12.75" hidden="false" customHeight="true" outlineLevel="0" collapsed="false"/>
    <row r="62613" customFormat="false" ht="12.75" hidden="false" customHeight="true" outlineLevel="0" collapsed="false"/>
    <row r="62614" customFormat="false" ht="12.75" hidden="false" customHeight="true" outlineLevel="0" collapsed="false"/>
    <row r="62615" customFormat="false" ht="12.75" hidden="false" customHeight="true" outlineLevel="0" collapsed="false"/>
    <row r="62616" customFormat="false" ht="12.75" hidden="false" customHeight="true" outlineLevel="0" collapsed="false"/>
    <row r="62617" customFormat="false" ht="12.75" hidden="false" customHeight="true" outlineLevel="0" collapsed="false"/>
    <row r="62618" customFormat="false" ht="12.75" hidden="false" customHeight="true" outlineLevel="0" collapsed="false"/>
    <row r="62619" customFormat="false" ht="12.75" hidden="false" customHeight="true" outlineLevel="0" collapsed="false"/>
    <row r="62620" customFormat="false" ht="12.75" hidden="false" customHeight="true" outlineLevel="0" collapsed="false"/>
    <row r="62621" customFormat="false" ht="12.75" hidden="false" customHeight="true" outlineLevel="0" collapsed="false"/>
    <row r="62622" customFormat="false" ht="12.75" hidden="false" customHeight="true" outlineLevel="0" collapsed="false"/>
    <row r="62623" customFormat="false" ht="12.75" hidden="false" customHeight="true" outlineLevel="0" collapsed="false"/>
    <row r="62624" customFormat="false" ht="12.75" hidden="false" customHeight="true" outlineLevel="0" collapsed="false"/>
    <row r="62625" customFormat="false" ht="12.75" hidden="false" customHeight="true" outlineLevel="0" collapsed="false"/>
    <row r="62626" customFormat="false" ht="12.75" hidden="false" customHeight="true" outlineLevel="0" collapsed="false"/>
    <row r="62627" customFormat="false" ht="12.75" hidden="false" customHeight="true" outlineLevel="0" collapsed="false"/>
    <row r="62628" customFormat="false" ht="12.75" hidden="false" customHeight="true" outlineLevel="0" collapsed="false"/>
    <row r="62629" customFormat="false" ht="12.75" hidden="false" customHeight="true" outlineLevel="0" collapsed="false"/>
    <row r="62630" customFormat="false" ht="12.75" hidden="false" customHeight="true" outlineLevel="0" collapsed="false"/>
    <row r="62631" customFormat="false" ht="12.75" hidden="false" customHeight="true" outlineLevel="0" collapsed="false"/>
    <row r="62632" customFormat="false" ht="12.75" hidden="false" customHeight="true" outlineLevel="0" collapsed="false"/>
    <row r="62633" customFormat="false" ht="12.75" hidden="false" customHeight="true" outlineLevel="0" collapsed="false"/>
    <row r="62634" customFormat="false" ht="12.75" hidden="false" customHeight="true" outlineLevel="0" collapsed="false"/>
    <row r="62635" customFormat="false" ht="12.75" hidden="false" customHeight="true" outlineLevel="0" collapsed="false"/>
    <row r="62636" customFormat="false" ht="12.75" hidden="false" customHeight="true" outlineLevel="0" collapsed="false"/>
    <row r="62637" customFormat="false" ht="12.75" hidden="false" customHeight="true" outlineLevel="0" collapsed="false"/>
    <row r="62638" customFormat="false" ht="12.75" hidden="false" customHeight="true" outlineLevel="0" collapsed="false"/>
    <row r="62639" customFormat="false" ht="12.75" hidden="false" customHeight="true" outlineLevel="0" collapsed="false"/>
    <row r="62640" customFormat="false" ht="12.75" hidden="false" customHeight="true" outlineLevel="0" collapsed="false"/>
    <row r="62641" customFormat="false" ht="12.75" hidden="false" customHeight="true" outlineLevel="0" collapsed="false"/>
    <row r="62642" customFormat="false" ht="12.75" hidden="false" customHeight="true" outlineLevel="0" collapsed="false"/>
    <row r="62643" customFormat="false" ht="12.75" hidden="false" customHeight="true" outlineLevel="0" collapsed="false"/>
    <row r="62644" customFormat="false" ht="12.75" hidden="false" customHeight="true" outlineLevel="0" collapsed="false"/>
    <row r="62645" customFormat="false" ht="12.75" hidden="false" customHeight="true" outlineLevel="0" collapsed="false"/>
    <row r="62646" customFormat="false" ht="12.75" hidden="false" customHeight="true" outlineLevel="0" collapsed="false"/>
    <row r="62647" customFormat="false" ht="12.75" hidden="false" customHeight="true" outlineLevel="0" collapsed="false"/>
    <row r="62648" customFormat="false" ht="12.75" hidden="false" customHeight="true" outlineLevel="0" collapsed="false"/>
    <row r="62649" customFormat="false" ht="12.75" hidden="false" customHeight="true" outlineLevel="0" collapsed="false"/>
    <row r="62650" customFormat="false" ht="12.75" hidden="false" customHeight="true" outlineLevel="0" collapsed="false"/>
    <row r="62651" customFormat="false" ht="12.75" hidden="false" customHeight="true" outlineLevel="0" collapsed="false"/>
    <row r="62652" customFormat="false" ht="12.75" hidden="false" customHeight="true" outlineLevel="0" collapsed="false"/>
    <row r="62653" customFormat="false" ht="12.75" hidden="false" customHeight="true" outlineLevel="0" collapsed="false"/>
    <row r="62654" customFormat="false" ht="12.75" hidden="false" customHeight="true" outlineLevel="0" collapsed="false"/>
    <row r="62655" customFormat="false" ht="12.75" hidden="false" customHeight="true" outlineLevel="0" collapsed="false"/>
    <row r="62656" customFormat="false" ht="12.75" hidden="false" customHeight="true" outlineLevel="0" collapsed="false"/>
    <row r="62657" customFormat="false" ht="12.75" hidden="false" customHeight="true" outlineLevel="0" collapsed="false"/>
    <row r="62658" customFormat="false" ht="12.75" hidden="false" customHeight="true" outlineLevel="0" collapsed="false"/>
    <row r="62659" customFormat="false" ht="12.75" hidden="false" customHeight="true" outlineLevel="0" collapsed="false"/>
    <row r="62660" customFormat="false" ht="12.75" hidden="false" customHeight="true" outlineLevel="0" collapsed="false"/>
    <row r="62661" customFormat="false" ht="12.75" hidden="false" customHeight="true" outlineLevel="0" collapsed="false"/>
    <row r="62662" customFormat="false" ht="12.75" hidden="false" customHeight="true" outlineLevel="0" collapsed="false"/>
    <row r="62663" customFormat="false" ht="12.75" hidden="false" customHeight="true" outlineLevel="0" collapsed="false"/>
    <row r="62664" customFormat="false" ht="12.75" hidden="false" customHeight="true" outlineLevel="0" collapsed="false"/>
    <row r="62665" customFormat="false" ht="12.75" hidden="false" customHeight="true" outlineLevel="0" collapsed="false"/>
    <row r="62666" customFormat="false" ht="12.75" hidden="false" customHeight="true" outlineLevel="0" collapsed="false"/>
    <row r="62667" customFormat="false" ht="12.75" hidden="false" customHeight="true" outlineLevel="0" collapsed="false"/>
    <row r="62668" customFormat="false" ht="12.75" hidden="false" customHeight="true" outlineLevel="0" collapsed="false"/>
    <row r="62669" customFormat="false" ht="12.75" hidden="false" customHeight="true" outlineLevel="0" collapsed="false"/>
    <row r="62670" customFormat="false" ht="12.75" hidden="false" customHeight="true" outlineLevel="0" collapsed="false"/>
    <row r="62671" customFormat="false" ht="12.75" hidden="false" customHeight="true" outlineLevel="0" collapsed="false"/>
    <row r="62672" customFormat="false" ht="12.75" hidden="false" customHeight="true" outlineLevel="0" collapsed="false"/>
    <row r="62673" customFormat="false" ht="12.75" hidden="false" customHeight="true" outlineLevel="0" collapsed="false"/>
    <row r="62674" customFormat="false" ht="12.75" hidden="false" customHeight="true" outlineLevel="0" collapsed="false"/>
    <row r="62675" customFormat="false" ht="12.75" hidden="false" customHeight="true" outlineLevel="0" collapsed="false"/>
    <row r="62676" customFormat="false" ht="12.75" hidden="false" customHeight="true" outlineLevel="0" collapsed="false"/>
    <row r="62677" customFormat="false" ht="12.75" hidden="false" customHeight="true" outlineLevel="0" collapsed="false"/>
    <row r="62678" customFormat="false" ht="12.75" hidden="false" customHeight="true" outlineLevel="0" collapsed="false"/>
    <row r="62679" customFormat="false" ht="12.75" hidden="false" customHeight="true" outlineLevel="0" collapsed="false"/>
    <row r="62680" customFormat="false" ht="12.75" hidden="false" customHeight="true" outlineLevel="0" collapsed="false"/>
    <row r="62681" customFormat="false" ht="12.75" hidden="false" customHeight="true" outlineLevel="0" collapsed="false"/>
    <row r="62682" customFormat="false" ht="12.75" hidden="false" customHeight="true" outlineLevel="0" collapsed="false"/>
    <row r="62683" customFormat="false" ht="12.75" hidden="false" customHeight="true" outlineLevel="0" collapsed="false"/>
    <row r="62684" customFormat="false" ht="12.75" hidden="false" customHeight="true" outlineLevel="0" collapsed="false"/>
    <row r="62685" customFormat="false" ht="12.75" hidden="false" customHeight="true" outlineLevel="0" collapsed="false"/>
    <row r="62686" customFormat="false" ht="12.75" hidden="false" customHeight="true" outlineLevel="0" collapsed="false"/>
    <row r="62687" customFormat="false" ht="12.75" hidden="false" customHeight="true" outlineLevel="0" collapsed="false"/>
    <row r="62688" customFormat="false" ht="12.75" hidden="false" customHeight="true" outlineLevel="0" collapsed="false"/>
    <row r="62689" customFormat="false" ht="12.75" hidden="false" customHeight="true" outlineLevel="0" collapsed="false"/>
    <row r="62690" customFormat="false" ht="12.75" hidden="false" customHeight="true" outlineLevel="0" collapsed="false"/>
    <row r="62691" customFormat="false" ht="12.75" hidden="false" customHeight="true" outlineLevel="0" collapsed="false"/>
    <row r="62692" customFormat="false" ht="12.75" hidden="false" customHeight="true" outlineLevel="0" collapsed="false"/>
    <row r="62693" customFormat="false" ht="12.75" hidden="false" customHeight="true" outlineLevel="0" collapsed="false"/>
    <row r="62694" customFormat="false" ht="12.75" hidden="false" customHeight="true" outlineLevel="0" collapsed="false"/>
    <row r="62695" customFormat="false" ht="12.75" hidden="false" customHeight="true" outlineLevel="0" collapsed="false"/>
    <row r="62696" customFormat="false" ht="12.75" hidden="false" customHeight="true" outlineLevel="0" collapsed="false"/>
    <row r="62697" customFormat="false" ht="12.75" hidden="false" customHeight="true" outlineLevel="0" collapsed="false"/>
    <row r="62698" customFormat="false" ht="12.75" hidden="false" customHeight="true" outlineLevel="0" collapsed="false"/>
    <row r="62699" customFormat="false" ht="12.75" hidden="false" customHeight="true" outlineLevel="0" collapsed="false"/>
    <row r="62700" customFormat="false" ht="12.75" hidden="false" customHeight="true" outlineLevel="0" collapsed="false"/>
    <row r="62701" customFormat="false" ht="12.75" hidden="false" customHeight="true" outlineLevel="0" collapsed="false"/>
    <row r="62702" customFormat="false" ht="12.75" hidden="false" customHeight="true" outlineLevel="0" collapsed="false"/>
    <row r="62703" customFormat="false" ht="12.75" hidden="false" customHeight="true" outlineLevel="0" collapsed="false"/>
    <row r="62704" customFormat="false" ht="12.75" hidden="false" customHeight="true" outlineLevel="0" collapsed="false"/>
    <row r="62705" customFormat="false" ht="12.75" hidden="false" customHeight="true" outlineLevel="0" collapsed="false"/>
    <row r="62706" customFormat="false" ht="12.75" hidden="false" customHeight="true" outlineLevel="0" collapsed="false"/>
    <row r="62707" customFormat="false" ht="12.75" hidden="false" customHeight="true" outlineLevel="0" collapsed="false"/>
    <row r="62708" customFormat="false" ht="12.75" hidden="false" customHeight="true" outlineLevel="0" collapsed="false"/>
    <row r="62709" customFormat="false" ht="12.75" hidden="false" customHeight="true" outlineLevel="0" collapsed="false"/>
    <row r="62710" customFormat="false" ht="12.75" hidden="false" customHeight="true" outlineLevel="0" collapsed="false"/>
    <row r="62711" customFormat="false" ht="12.75" hidden="false" customHeight="true" outlineLevel="0" collapsed="false"/>
    <row r="62712" customFormat="false" ht="12.75" hidden="false" customHeight="true" outlineLevel="0" collapsed="false"/>
    <row r="62713" customFormat="false" ht="12.75" hidden="false" customHeight="true" outlineLevel="0" collapsed="false"/>
    <row r="62714" customFormat="false" ht="12.75" hidden="false" customHeight="true" outlineLevel="0" collapsed="false"/>
    <row r="62715" customFormat="false" ht="12.75" hidden="false" customHeight="true" outlineLevel="0" collapsed="false"/>
    <row r="62716" customFormat="false" ht="12.75" hidden="false" customHeight="true" outlineLevel="0" collapsed="false"/>
    <row r="62717" customFormat="false" ht="12.75" hidden="false" customHeight="true" outlineLevel="0" collapsed="false"/>
    <row r="62718" customFormat="false" ht="12.75" hidden="false" customHeight="true" outlineLevel="0" collapsed="false"/>
    <row r="62719" customFormat="false" ht="12.75" hidden="false" customHeight="true" outlineLevel="0" collapsed="false"/>
    <row r="62720" customFormat="false" ht="12.75" hidden="false" customHeight="true" outlineLevel="0" collapsed="false"/>
    <row r="62721" customFormat="false" ht="12.75" hidden="false" customHeight="true" outlineLevel="0" collapsed="false"/>
    <row r="62722" customFormat="false" ht="12.75" hidden="false" customHeight="true" outlineLevel="0" collapsed="false"/>
    <row r="62723" customFormat="false" ht="12.75" hidden="false" customHeight="true" outlineLevel="0" collapsed="false"/>
    <row r="62724" customFormat="false" ht="12.75" hidden="false" customHeight="true" outlineLevel="0" collapsed="false"/>
    <row r="62725" customFormat="false" ht="12.75" hidden="false" customHeight="true" outlineLevel="0" collapsed="false"/>
    <row r="62726" customFormat="false" ht="12.75" hidden="false" customHeight="true" outlineLevel="0" collapsed="false"/>
    <row r="62727" customFormat="false" ht="12.75" hidden="false" customHeight="true" outlineLevel="0" collapsed="false"/>
    <row r="62728" customFormat="false" ht="12.75" hidden="false" customHeight="true" outlineLevel="0" collapsed="false"/>
    <row r="62729" customFormat="false" ht="12.75" hidden="false" customHeight="true" outlineLevel="0" collapsed="false"/>
    <row r="62730" customFormat="false" ht="12.75" hidden="false" customHeight="true" outlineLevel="0" collapsed="false"/>
    <row r="62731" customFormat="false" ht="12.75" hidden="false" customHeight="true" outlineLevel="0" collapsed="false"/>
    <row r="62732" customFormat="false" ht="12.75" hidden="false" customHeight="true" outlineLevel="0" collapsed="false"/>
    <row r="62733" customFormat="false" ht="12.75" hidden="false" customHeight="true" outlineLevel="0" collapsed="false"/>
    <row r="62734" customFormat="false" ht="12.75" hidden="false" customHeight="true" outlineLevel="0" collapsed="false"/>
    <row r="62735" customFormat="false" ht="12.75" hidden="false" customHeight="true" outlineLevel="0" collapsed="false"/>
    <row r="62736" customFormat="false" ht="12.75" hidden="false" customHeight="true" outlineLevel="0" collapsed="false"/>
    <row r="62737" customFormat="false" ht="12.75" hidden="false" customHeight="true" outlineLevel="0" collapsed="false"/>
    <row r="62738" customFormat="false" ht="12.75" hidden="false" customHeight="true" outlineLevel="0" collapsed="false"/>
    <row r="62739" customFormat="false" ht="12.75" hidden="false" customHeight="true" outlineLevel="0" collapsed="false"/>
    <row r="62740" customFormat="false" ht="12.75" hidden="false" customHeight="true" outlineLevel="0" collapsed="false"/>
    <row r="62741" customFormat="false" ht="12.75" hidden="false" customHeight="true" outlineLevel="0" collapsed="false"/>
    <row r="62742" customFormat="false" ht="12.75" hidden="false" customHeight="true" outlineLevel="0" collapsed="false"/>
    <row r="62743" customFormat="false" ht="12.75" hidden="false" customHeight="true" outlineLevel="0" collapsed="false"/>
    <row r="62744" customFormat="false" ht="12.75" hidden="false" customHeight="true" outlineLevel="0" collapsed="false"/>
    <row r="62745" customFormat="false" ht="12.75" hidden="false" customHeight="true" outlineLevel="0" collapsed="false"/>
    <row r="62746" customFormat="false" ht="12.75" hidden="false" customHeight="true" outlineLevel="0" collapsed="false"/>
    <row r="62747" customFormat="false" ht="12.75" hidden="false" customHeight="true" outlineLevel="0" collapsed="false"/>
    <row r="62748" customFormat="false" ht="12.75" hidden="false" customHeight="true" outlineLevel="0" collapsed="false"/>
    <row r="62749" customFormat="false" ht="12.75" hidden="false" customHeight="true" outlineLevel="0" collapsed="false"/>
    <row r="62750" customFormat="false" ht="12.75" hidden="false" customHeight="true" outlineLevel="0" collapsed="false"/>
    <row r="62751" customFormat="false" ht="12.75" hidden="false" customHeight="true" outlineLevel="0" collapsed="false"/>
    <row r="62752" customFormat="false" ht="12.75" hidden="false" customHeight="true" outlineLevel="0" collapsed="false"/>
    <row r="62753" customFormat="false" ht="12.75" hidden="false" customHeight="true" outlineLevel="0" collapsed="false"/>
    <row r="62754" customFormat="false" ht="12.75" hidden="false" customHeight="true" outlineLevel="0" collapsed="false"/>
    <row r="62755" customFormat="false" ht="12.75" hidden="false" customHeight="true" outlineLevel="0" collapsed="false"/>
    <row r="62756" customFormat="false" ht="12.75" hidden="false" customHeight="true" outlineLevel="0" collapsed="false"/>
    <row r="62757" customFormat="false" ht="12.75" hidden="false" customHeight="true" outlineLevel="0" collapsed="false"/>
    <row r="62758" customFormat="false" ht="12.75" hidden="false" customHeight="true" outlineLevel="0" collapsed="false"/>
    <row r="62759" customFormat="false" ht="12.75" hidden="false" customHeight="true" outlineLevel="0" collapsed="false"/>
    <row r="62760" customFormat="false" ht="12.75" hidden="false" customHeight="true" outlineLevel="0" collapsed="false"/>
    <row r="62761" customFormat="false" ht="12.75" hidden="false" customHeight="true" outlineLevel="0" collapsed="false"/>
    <row r="62762" customFormat="false" ht="12.75" hidden="false" customHeight="true" outlineLevel="0" collapsed="false"/>
    <row r="62763" customFormat="false" ht="12.75" hidden="false" customHeight="true" outlineLevel="0" collapsed="false"/>
    <row r="62764" customFormat="false" ht="12.75" hidden="false" customHeight="true" outlineLevel="0" collapsed="false"/>
    <row r="62765" customFormat="false" ht="12.75" hidden="false" customHeight="true" outlineLevel="0" collapsed="false"/>
    <row r="62766" customFormat="false" ht="12.75" hidden="false" customHeight="true" outlineLevel="0" collapsed="false"/>
    <row r="62767" customFormat="false" ht="12.75" hidden="false" customHeight="true" outlineLevel="0" collapsed="false"/>
    <row r="62768" customFormat="false" ht="12.75" hidden="false" customHeight="true" outlineLevel="0" collapsed="false"/>
    <row r="62769" customFormat="false" ht="12.75" hidden="false" customHeight="true" outlineLevel="0" collapsed="false"/>
    <row r="62770" customFormat="false" ht="12.75" hidden="false" customHeight="true" outlineLevel="0" collapsed="false"/>
    <row r="62771" customFormat="false" ht="12.75" hidden="false" customHeight="true" outlineLevel="0" collapsed="false"/>
    <row r="62772" customFormat="false" ht="12.75" hidden="false" customHeight="true" outlineLevel="0" collapsed="false"/>
    <row r="62773" customFormat="false" ht="12.75" hidden="false" customHeight="true" outlineLevel="0" collapsed="false"/>
    <row r="62774" customFormat="false" ht="12.75" hidden="false" customHeight="true" outlineLevel="0" collapsed="false"/>
    <row r="62775" customFormat="false" ht="12.75" hidden="false" customHeight="true" outlineLevel="0" collapsed="false"/>
    <row r="62776" customFormat="false" ht="12.75" hidden="false" customHeight="true" outlineLevel="0" collapsed="false"/>
    <row r="62777" customFormat="false" ht="12.75" hidden="false" customHeight="true" outlineLevel="0" collapsed="false"/>
    <row r="62778" customFormat="false" ht="12.75" hidden="false" customHeight="true" outlineLevel="0" collapsed="false"/>
    <row r="62779" customFormat="false" ht="12.75" hidden="false" customHeight="true" outlineLevel="0" collapsed="false"/>
    <row r="62780" customFormat="false" ht="12.75" hidden="false" customHeight="true" outlineLevel="0" collapsed="false"/>
    <row r="62781" customFormat="false" ht="12.75" hidden="false" customHeight="true" outlineLevel="0" collapsed="false"/>
    <row r="62782" customFormat="false" ht="12.75" hidden="false" customHeight="true" outlineLevel="0" collapsed="false"/>
    <row r="62783" customFormat="false" ht="12.75" hidden="false" customHeight="true" outlineLevel="0" collapsed="false"/>
    <row r="62784" customFormat="false" ht="12.75" hidden="false" customHeight="true" outlineLevel="0" collapsed="false"/>
    <row r="62785" customFormat="false" ht="12.75" hidden="false" customHeight="true" outlineLevel="0" collapsed="false"/>
    <row r="62786" customFormat="false" ht="12.75" hidden="false" customHeight="true" outlineLevel="0" collapsed="false"/>
    <row r="62787" customFormat="false" ht="12.75" hidden="false" customHeight="true" outlineLevel="0" collapsed="false"/>
    <row r="62788" customFormat="false" ht="12.75" hidden="false" customHeight="true" outlineLevel="0" collapsed="false"/>
    <row r="62789" customFormat="false" ht="12.75" hidden="false" customHeight="true" outlineLevel="0" collapsed="false"/>
    <row r="62790" customFormat="false" ht="12.75" hidden="false" customHeight="true" outlineLevel="0" collapsed="false"/>
    <row r="62791" customFormat="false" ht="12.75" hidden="false" customHeight="true" outlineLevel="0" collapsed="false"/>
    <row r="62792" customFormat="false" ht="12.75" hidden="false" customHeight="true" outlineLevel="0" collapsed="false"/>
    <row r="62793" customFormat="false" ht="12.75" hidden="false" customHeight="true" outlineLevel="0" collapsed="false"/>
    <row r="62794" customFormat="false" ht="12.75" hidden="false" customHeight="true" outlineLevel="0" collapsed="false"/>
    <row r="62795" customFormat="false" ht="12.75" hidden="false" customHeight="true" outlineLevel="0" collapsed="false"/>
    <row r="62796" customFormat="false" ht="12.75" hidden="false" customHeight="true" outlineLevel="0" collapsed="false"/>
    <row r="62797" customFormat="false" ht="12.75" hidden="false" customHeight="true" outlineLevel="0" collapsed="false"/>
    <row r="62798" customFormat="false" ht="12.75" hidden="false" customHeight="true" outlineLevel="0" collapsed="false"/>
    <row r="62799" customFormat="false" ht="12.75" hidden="false" customHeight="true" outlineLevel="0" collapsed="false"/>
    <row r="62800" customFormat="false" ht="12.75" hidden="false" customHeight="true" outlineLevel="0" collapsed="false"/>
    <row r="62801" customFormat="false" ht="12.75" hidden="false" customHeight="true" outlineLevel="0" collapsed="false"/>
    <row r="62802" customFormat="false" ht="12.75" hidden="false" customHeight="true" outlineLevel="0" collapsed="false"/>
    <row r="62803" customFormat="false" ht="12.75" hidden="false" customHeight="true" outlineLevel="0" collapsed="false"/>
    <row r="62804" customFormat="false" ht="12.75" hidden="false" customHeight="true" outlineLevel="0" collapsed="false"/>
    <row r="62805" customFormat="false" ht="12.75" hidden="false" customHeight="true" outlineLevel="0" collapsed="false"/>
    <row r="62806" customFormat="false" ht="12.75" hidden="false" customHeight="true" outlineLevel="0" collapsed="false"/>
    <row r="62807" customFormat="false" ht="12.75" hidden="false" customHeight="true" outlineLevel="0" collapsed="false"/>
    <row r="62808" customFormat="false" ht="12.75" hidden="false" customHeight="true" outlineLevel="0" collapsed="false"/>
    <row r="62809" customFormat="false" ht="12.75" hidden="false" customHeight="true" outlineLevel="0" collapsed="false"/>
    <row r="62810" customFormat="false" ht="12.75" hidden="false" customHeight="true" outlineLevel="0" collapsed="false"/>
    <row r="62811" customFormat="false" ht="12.75" hidden="false" customHeight="true" outlineLevel="0" collapsed="false"/>
    <row r="62812" customFormat="false" ht="12.75" hidden="false" customHeight="true" outlineLevel="0" collapsed="false"/>
    <row r="62813" customFormat="false" ht="12.75" hidden="false" customHeight="true" outlineLevel="0" collapsed="false"/>
    <row r="62814" customFormat="false" ht="12.75" hidden="false" customHeight="true" outlineLevel="0" collapsed="false"/>
    <row r="62815" customFormat="false" ht="12.75" hidden="false" customHeight="true" outlineLevel="0" collapsed="false"/>
    <row r="62816" customFormat="false" ht="12.75" hidden="false" customHeight="true" outlineLevel="0" collapsed="false"/>
    <row r="62817" customFormat="false" ht="12.75" hidden="false" customHeight="true" outlineLevel="0" collapsed="false"/>
    <row r="62818" customFormat="false" ht="12.75" hidden="false" customHeight="true" outlineLevel="0" collapsed="false"/>
    <row r="62819" customFormat="false" ht="12.75" hidden="false" customHeight="true" outlineLevel="0" collapsed="false"/>
    <row r="62820" customFormat="false" ht="12.75" hidden="false" customHeight="true" outlineLevel="0" collapsed="false"/>
    <row r="62821" customFormat="false" ht="12.75" hidden="false" customHeight="true" outlineLevel="0" collapsed="false"/>
    <row r="62822" customFormat="false" ht="12.75" hidden="false" customHeight="true" outlineLevel="0" collapsed="false"/>
    <row r="62823" customFormat="false" ht="12.75" hidden="false" customHeight="true" outlineLevel="0" collapsed="false"/>
    <row r="62824" customFormat="false" ht="12.75" hidden="false" customHeight="true" outlineLevel="0" collapsed="false"/>
    <row r="62825" customFormat="false" ht="12.75" hidden="false" customHeight="true" outlineLevel="0" collapsed="false"/>
    <row r="62826" customFormat="false" ht="12.75" hidden="false" customHeight="true" outlineLevel="0" collapsed="false"/>
    <row r="62827" customFormat="false" ht="12.75" hidden="false" customHeight="true" outlineLevel="0" collapsed="false"/>
    <row r="62828" customFormat="false" ht="12.75" hidden="false" customHeight="true" outlineLevel="0" collapsed="false"/>
    <row r="62829" customFormat="false" ht="12.75" hidden="false" customHeight="true" outlineLevel="0" collapsed="false"/>
    <row r="62830" customFormat="false" ht="12.75" hidden="false" customHeight="true" outlineLevel="0" collapsed="false"/>
    <row r="62831" customFormat="false" ht="12.75" hidden="false" customHeight="true" outlineLevel="0" collapsed="false"/>
    <row r="62832" customFormat="false" ht="12.75" hidden="false" customHeight="true" outlineLevel="0" collapsed="false"/>
    <row r="62833" customFormat="false" ht="12.75" hidden="false" customHeight="true" outlineLevel="0" collapsed="false"/>
    <row r="62834" customFormat="false" ht="12.75" hidden="false" customHeight="true" outlineLevel="0" collapsed="false"/>
    <row r="62835" customFormat="false" ht="12.75" hidden="false" customHeight="true" outlineLevel="0" collapsed="false"/>
    <row r="62836" customFormat="false" ht="12.75" hidden="false" customHeight="true" outlineLevel="0" collapsed="false"/>
    <row r="62837" customFormat="false" ht="12.75" hidden="false" customHeight="true" outlineLevel="0" collapsed="false"/>
    <row r="62838" customFormat="false" ht="12.75" hidden="false" customHeight="true" outlineLevel="0" collapsed="false"/>
    <row r="62839" customFormat="false" ht="12.75" hidden="false" customHeight="true" outlineLevel="0" collapsed="false"/>
    <row r="62840" customFormat="false" ht="12.75" hidden="false" customHeight="true" outlineLevel="0" collapsed="false"/>
    <row r="62841" customFormat="false" ht="12.75" hidden="false" customHeight="true" outlineLevel="0" collapsed="false"/>
    <row r="62842" customFormat="false" ht="12.75" hidden="false" customHeight="true" outlineLevel="0" collapsed="false"/>
    <row r="62843" customFormat="false" ht="12.75" hidden="false" customHeight="true" outlineLevel="0" collapsed="false"/>
    <row r="62844" customFormat="false" ht="12.75" hidden="false" customHeight="true" outlineLevel="0" collapsed="false"/>
    <row r="62845" customFormat="false" ht="12.75" hidden="false" customHeight="true" outlineLevel="0" collapsed="false"/>
    <row r="62846" customFormat="false" ht="12.75" hidden="false" customHeight="true" outlineLevel="0" collapsed="false"/>
    <row r="62847" customFormat="false" ht="12.75" hidden="false" customHeight="true" outlineLevel="0" collapsed="false"/>
    <row r="62848" customFormat="false" ht="12.75" hidden="false" customHeight="true" outlineLevel="0" collapsed="false"/>
    <row r="62849" customFormat="false" ht="12.75" hidden="false" customHeight="true" outlineLevel="0" collapsed="false"/>
    <row r="62850" customFormat="false" ht="12.75" hidden="false" customHeight="true" outlineLevel="0" collapsed="false"/>
    <row r="62851" customFormat="false" ht="12.75" hidden="false" customHeight="true" outlineLevel="0" collapsed="false"/>
    <row r="62852" customFormat="false" ht="12.75" hidden="false" customHeight="true" outlineLevel="0" collapsed="false"/>
    <row r="62853" customFormat="false" ht="12.75" hidden="false" customHeight="true" outlineLevel="0" collapsed="false"/>
    <row r="62854" customFormat="false" ht="12.75" hidden="false" customHeight="true" outlineLevel="0" collapsed="false"/>
    <row r="62855" customFormat="false" ht="12.75" hidden="false" customHeight="true" outlineLevel="0" collapsed="false"/>
    <row r="62856" customFormat="false" ht="12.75" hidden="false" customHeight="true" outlineLevel="0" collapsed="false"/>
    <row r="62857" customFormat="false" ht="12.75" hidden="false" customHeight="true" outlineLevel="0" collapsed="false"/>
    <row r="62858" customFormat="false" ht="12.75" hidden="false" customHeight="true" outlineLevel="0" collapsed="false"/>
    <row r="62859" customFormat="false" ht="12.75" hidden="false" customHeight="true" outlineLevel="0" collapsed="false"/>
    <row r="62860" customFormat="false" ht="12.75" hidden="false" customHeight="true" outlineLevel="0" collapsed="false"/>
    <row r="62861" customFormat="false" ht="12.75" hidden="false" customHeight="true" outlineLevel="0" collapsed="false"/>
    <row r="62862" customFormat="false" ht="12.75" hidden="false" customHeight="true" outlineLevel="0" collapsed="false"/>
    <row r="62863" customFormat="false" ht="12.75" hidden="false" customHeight="true" outlineLevel="0" collapsed="false"/>
    <row r="62864" customFormat="false" ht="12.75" hidden="false" customHeight="true" outlineLevel="0" collapsed="false"/>
    <row r="62865" customFormat="false" ht="12.75" hidden="false" customHeight="true" outlineLevel="0" collapsed="false"/>
    <row r="62866" customFormat="false" ht="12.75" hidden="false" customHeight="true" outlineLevel="0" collapsed="false"/>
    <row r="62867" customFormat="false" ht="12.75" hidden="false" customHeight="true" outlineLevel="0" collapsed="false"/>
    <row r="62868" customFormat="false" ht="12.75" hidden="false" customHeight="true" outlineLevel="0" collapsed="false"/>
    <row r="62869" customFormat="false" ht="12.75" hidden="false" customHeight="true" outlineLevel="0" collapsed="false"/>
    <row r="62870" customFormat="false" ht="12.75" hidden="false" customHeight="true" outlineLevel="0" collapsed="false"/>
    <row r="62871" customFormat="false" ht="12.75" hidden="false" customHeight="true" outlineLevel="0" collapsed="false"/>
    <row r="62872" customFormat="false" ht="12.75" hidden="false" customHeight="true" outlineLevel="0" collapsed="false"/>
    <row r="62873" customFormat="false" ht="12.75" hidden="false" customHeight="true" outlineLevel="0" collapsed="false"/>
    <row r="62874" customFormat="false" ht="12.75" hidden="false" customHeight="true" outlineLevel="0" collapsed="false"/>
    <row r="62875" customFormat="false" ht="12.75" hidden="false" customHeight="true" outlineLevel="0" collapsed="false"/>
    <row r="62876" customFormat="false" ht="12.75" hidden="false" customHeight="true" outlineLevel="0" collapsed="false"/>
    <row r="62877" customFormat="false" ht="12.75" hidden="false" customHeight="true" outlineLevel="0" collapsed="false"/>
    <row r="62878" customFormat="false" ht="12.75" hidden="false" customHeight="true" outlineLevel="0" collapsed="false"/>
    <row r="62879" customFormat="false" ht="12.75" hidden="false" customHeight="true" outlineLevel="0" collapsed="false"/>
    <row r="62880" customFormat="false" ht="12.75" hidden="false" customHeight="true" outlineLevel="0" collapsed="false"/>
    <row r="62881" customFormat="false" ht="12.75" hidden="false" customHeight="true" outlineLevel="0" collapsed="false"/>
    <row r="62882" customFormat="false" ht="12.75" hidden="false" customHeight="true" outlineLevel="0" collapsed="false"/>
    <row r="62883" customFormat="false" ht="12.75" hidden="false" customHeight="true" outlineLevel="0" collapsed="false"/>
    <row r="62884" customFormat="false" ht="12.75" hidden="false" customHeight="true" outlineLevel="0" collapsed="false"/>
    <row r="62885" customFormat="false" ht="12.75" hidden="false" customHeight="true" outlineLevel="0" collapsed="false"/>
    <row r="62886" customFormat="false" ht="12.75" hidden="false" customHeight="true" outlineLevel="0" collapsed="false"/>
    <row r="62887" customFormat="false" ht="12.75" hidden="false" customHeight="true" outlineLevel="0" collapsed="false"/>
    <row r="62888" customFormat="false" ht="12.75" hidden="false" customHeight="true" outlineLevel="0" collapsed="false"/>
    <row r="62889" customFormat="false" ht="12.75" hidden="false" customHeight="true" outlineLevel="0" collapsed="false"/>
    <row r="62890" customFormat="false" ht="12.75" hidden="false" customHeight="true" outlineLevel="0" collapsed="false"/>
    <row r="62891" customFormat="false" ht="12.75" hidden="false" customHeight="true" outlineLevel="0" collapsed="false"/>
    <row r="62892" customFormat="false" ht="12.75" hidden="false" customHeight="true" outlineLevel="0" collapsed="false"/>
    <row r="62893" customFormat="false" ht="12.75" hidden="false" customHeight="true" outlineLevel="0" collapsed="false"/>
    <row r="62894" customFormat="false" ht="12.75" hidden="false" customHeight="true" outlineLevel="0" collapsed="false"/>
    <row r="62895" customFormat="false" ht="12.75" hidden="false" customHeight="true" outlineLevel="0" collapsed="false"/>
    <row r="62896" customFormat="false" ht="12.75" hidden="false" customHeight="true" outlineLevel="0" collapsed="false"/>
    <row r="62897" customFormat="false" ht="12.75" hidden="false" customHeight="true" outlineLevel="0" collapsed="false"/>
    <row r="62898" customFormat="false" ht="12.75" hidden="false" customHeight="true" outlineLevel="0" collapsed="false"/>
    <row r="62899" customFormat="false" ht="12.75" hidden="false" customHeight="true" outlineLevel="0" collapsed="false"/>
    <row r="62900" customFormat="false" ht="12.75" hidden="false" customHeight="true" outlineLevel="0" collapsed="false"/>
    <row r="62901" customFormat="false" ht="12.75" hidden="false" customHeight="true" outlineLevel="0" collapsed="false"/>
    <row r="62902" customFormat="false" ht="12.75" hidden="false" customHeight="true" outlineLevel="0" collapsed="false"/>
    <row r="62903" customFormat="false" ht="12.75" hidden="false" customHeight="true" outlineLevel="0" collapsed="false"/>
    <row r="62904" customFormat="false" ht="12.75" hidden="false" customHeight="true" outlineLevel="0" collapsed="false"/>
    <row r="62905" customFormat="false" ht="12.75" hidden="false" customHeight="true" outlineLevel="0" collapsed="false"/>
    <row r="62906" customFormat="false" ht="12.75" hidden="false" customHeight="true" outlineLevel="0" collapsed="false"/>
    <row r="62907" customFormat="false" ht="12.75" hidden="false" customHeight="true" outlineLevel="0" collapsed="false"/>
    <row r="62908" customFormat="false" ht="12.75" hidden="false" customHeight="true" outlineLevel="0" collapsed="false"/>
    <row r="62909" customFormat="false" ht="12.75" hidden="false" customHeight="true" outlineLevel="0" collapsed="false"/>
    <row r="62910" customFormat="false" ht="12.75" hidden="false" customHeight="true" outlineLevel="0" collapsed="false"/>
    <row r="62911" customFormat="false" ht="12.75" hidden="false" customHeight="true" outlineLevel="0" collapsed="false"/>
    <row r="62912" customFormat="false" ht="12.75" hidden="false" customHeight="true" outlineLevel="0" collapsed="false"/>
    <row r="62913" customFormat="false" ht="12.75" hidden="false" customHeight="true" outlineLevel="0" collapsed="false"/>
    <row r="62914" customFormat="false" ht="12.75" hidden="false" customHeight="true" outlineLevel="0" collapsed="false"/>
    <row r="62915" customFormat="false" ht="12.75" hidden="false" customHeight="true" outlineLevel="0" collapsed="false"/>
    <row r="62916" customFormat="false" ht="12.75" hidden="false" customHeight="true" outlineLevel="0" collapsed="false"/>
    <row r="62917" customFormat="false" ht="12.75" hidden="false" customHeight="true" outlineLevel="0" collapsed="false"/>
    <row r="62918" customFormat="false" ht="12.75" hidden="false" customHeight="true" outlineLevel="0" collapsed="false"/>
    <row r="62919" customFormat="false" ht="12.75" hidden="false" customHeight="true" outlineLevel="0" collapsed="false"/>
    <row r="62920" customFormat="false" ht="12.75" hidden="false" customHeight="true" outlineLevel="0" collapsed="false"/>
    <row r="62921" customFormat="false" ht="12.75" hidden="false" customHeight="true" outlineLevel="0" collapsed="false"/>
    <row r="62922" customFormat="false" ht="12.75" hidden="false" customHeight="true" outlineLevel="0" collapsed="false"/>
    <row r="62923" customFormat="false" ht="12.75" hidden="false" customHeight="true" outlineLevel="0" collapsed="false"/>
    <row r="62924" customFormat="false" ht="12.75" hidden="false" customHeight="true" outlineLevel="0" collapsed="false"/>
    <row r="62925" customFormat="false" ht="12.75" hidden="false" customHeight="true" outlineLevel="0" collapsed="false"/>
    <row r="62926" customFormat="false" ht="12.75" hidden="false" customHeight="true" outlineLevel="0" collapsed="false"/>
    <row r="62927" customFormat="false" ht="12.75" hidden="false" customHeight="true" outlineLevel="0" collapsed="false"/>
    <row r="62928" customFormat="false" ht="12.75" hidden="false" customHeight="true" outlineLevel="0" collapsed="false"/>
    <row r="62929" customFormat="false" ht="12.75" hidden="false" customHeight="true" outlineLevel="0" collapsed="false"/>
    <row r="62930" customFormat="false" ht="12.75" hidden="false" customHeight="true" outlineLevel="0" collapsed="false"/>
    <row r="62931" customFormat="false" ht="12.75" hidden="false" customHeight="true" outlineLevel="0" collapsed="false"/>
    <row r="62932" customFormat="false" ht="12.75" hidden="false" customHeight="true" outlineLevel="0" collapsed="false"/>
    <row r="62933" customFormat="false" ht="12.75" hidden="false" customHeight="true" outlineLevel="0" collapsed="false"/>
    <row r="62934" customFormat="false" ht="12.75" hidden="false" customHeight="true" outlineLevel="0" collapsed="false"/>
    <row r="62935" customFormat="false" ht="12.75" hidden="false" customHeight="true" outlineLevel="0" collapsed="false"/>
    <row r="62936" customFormat="false" ht="12.75" hidden="false" customHeight="true" outlineLevel="0" collapsed="false"/>
    <row r="62937" customFormat="false" ht="12.75" hidden="false" customHeight="true" outlineLevel="0" collapsed="false"/>
    <row r="62938" customFormat="false" ht="12.75" hidden="false" customHeight="true" outlineLevel="0" collapsed="false"/>
    <row r="62939" customFormat="false" ht="12.75" hidden="false" customHeight="true" outlineLevel="0" collapsed="false"/>
    <row r="62940" customFormat="false" ht="12.75" hidden="false" customHeight="true" outlineLevel="0" collapsed="false"/>
    <row r="62941" customFormat="false" ht="12.75" hidden="false" customHeight="true" outlineLevel="0" collapsed="false"/>
    <row r="62942" customFormat="false" ht="12.75" hidden="false" customHeight="true" outlineLevel="0" collapsed="false"/>
    <row r="62943" customFormat="false" ht="12.75" hidden="false" customHeight="true" outlineLevel="0" collapsed="false"/>
    <row r="62944" customFormat="false" ht="12.75" hidden="false" customHeight="true" outlineLevel="0" collapsed="false"/>
    <row r="62945" customFormat="false" ht="12.75" hidden="false" customHeight="true" outlineLevel="0" collapsed="false"/>
    <row r="62946" customFormat="false" ht="12.75" hidden="false" customHeight="true" outlineLevel="0" collapsed="false"/>
    <row r="62947" customFormat="false" ht="12.75" hidden="false" customHeight="true" outlineLevel="0" collapsed="false"/>
    <row r="62948" customFormat="false" ht="12.75" hidden="false" customHeight="true" outlineLevel="0" collapsed="false"/>
    <row r="62949" customFormat="false" ht="12.75" hidden="false" customHeight="true" outlineLevel="0" collapsed="false"/>
    <row r="62950" customFormat="false" ht="12.75" hidden="false" customHeight="true" outlineLevel="0" collapsed="false"/>
    <row r="62951" customFormat="false" ht="12.75" hidden="false" customHeight="true" outlineLevel="0" collapsed="false"/>
    <row r="62952" customFormat="false" ht="12.75" hidden="false" customHeight="true" outlineLevel="0" collapsed="false"/>
    <row r="62953" customFormat="false" ht="12.75" hidden="false" customHeight="true" outlineLevel="0" collapsed="false"/>
    <row r="62954" customFormat="false" ht="12.75" hidden="false" customHeight="true" outlineLevel="0" collapsed="false"/>
    <row r="62955" customFormat="false" ht="12.75" hidden="false" customHeight="true" outlineLevel="0" collapsed="false"/>
    <row r="62956" customFormat="false" ht="12.75" hidden="false" customHeight="true" outlineLevel="0" collapsed="false"/>
    <row r="62957" customFormat="false" ht="12.75" hidden="false" customHeight="true" outlineLevel="0" collapsed="false"/>
    <row r="62958" customFormat="false" ht="12.75" hidden="false" customHeight="true" outlineLevel="0" collapsed="false"/>
    <row r="62959" customFormat="false" ht="12.75" hidden="false" customHeight="true" outlineLevel="0" collapsed="false"/>
    <row r="62960" customFormat="false" ht="12.75" hidden="false" customHeight="true" outlineLevel="0" collapsed="false"/>
    <row r="62961" customFormat="false" ht="12.75" hidden="false" customHeight="true" outlineLevel="0" collapsed="false"/>
    <row r="62962" customFormat="false" ht="12.75" hidden="false" customHeight="true" outlineLevel="0" collapsed="false"/>
    <row r="62963" customFormat="false" ht="12.75" hidden="false" customHeight="true" outlineLevel="0" collapsed="false"/>
    <row r="62964" customFormat="false" ht="12.75" hidden="false" customHeight="true" outlineLevel="0" collapsed="false"/>
    <row r="62965" customFormat="false" ht="12.75" hidden="false" customHeight="true" outlineLevel="0" collapsed="false"/>
    <row r="62966" customFormat="false" ht="12.75" hidden="false" customHeight="true" outlineLevel="0" collapsed="false"/>
    <row r="62967" customFormat="false" ht="12.75" hidden="false" customHeight="true" outlineLevel="0" collapsed="false"/>
    <row r="62968" customFormat="false" ht="12.75" hidden="false" customHeight="true" outlineLevel="0" collapsed="false"/>
    <row r="62969" customFormat="false" ht="12.75" hidden="false" customHeight="true" outlineLevel="0" collapsed="false"/>
    <row r="62970" customFormat="false" ht="12.75" hidden="false" customHeight="true" outlineLevel="0" collapsed="false"/>
    <row r="62971" customFormat="false" ht="12.75" hidden="false" customHeight="true" outlineLevel="0" collapsed="false"/>
    <row r="62972" customFormat="false" ht="12.75" hidden="false" customHeight="true" outlineLevel="0" collapsed="false"/>
    <row r="62973" customFormat="false" ht="12.75" hidden="false" customHeight="true" outlineLevel="0" collapsed="false"/>
    <row r="62974" customFormat="false" ht="12.75" hidden="false" customHeight="true" outlineLevel="0" collapsed="false"/>
    <row r="62975" customFormat="false" ht="12.75" hidden="false" customHeight="true" outlineLevel="0" collapsed="false"/>
    <row r="62976" customFormat="false" ht="12.75" hidden="false" customHeight="true" outlineLevel="0" collapsed="false"/>
    <row r="62977" customFormat="false" ht="12.75" hidden="false" customHeight="true" outlineLevel="0" collapsed="false"/>
    <row r="62978" customFormat="false" ht="12.75" hidden="false" customHeight="true" outlineLevel="0" collapsed="false"/>
    <row r="62979" customFormat="false" ht="12.75" hidden="false" customHeight="true" outlineLevel="0" collapsed="false"/>
    <row r="62980" customFormat="false" ht="12.75" hidden="false" customHeight="true" outlineLevel="0" collapsed="false"/>
    <row r="62981" customFormat="false" ht="12.75" hidden="false" customHeight="true" outlineLevel="0" collapsed="false"/>
    <row r="62982" customFormat="false" ht="12.75" hidden="false" customHeight="true" outlineLevel="0" collapsed="false"/>
    <row r="62983" customFormat="false" ht="12.75" hidden="false" customHeight="true" outlineLevel="0" collapsed="false"/>
    <row r="62984" customFormat="false" ht="12.75" hidden="false" customHeight="true" outlineLevel="0" collapsed="false"/>
    <row r="62985" customFormat="false" ht="12.75" hidden="false" customHeight="true" outlineLevel="0" collapsed="false"/>
    <row r="62986" customFormat="false" ht="12.75" hidden="false" customHeight="true" outlineLevel="0" collapsed="false"/>
    <row r="62987" customFormat="false" ht="12.75" hidden="false" customHeight="true" outlineLevel="0" collapsed="false"/>
    <row r="62988" customFormat="false" ht="12.75" hidden="false" customHeight="true" outlineLevel="0" collapsed="false"/>
    <row r="62989" customFormat="false" ht="12.75" hidden="false" customHeight="true" outlineLevel="0" collapsed="false"/>
    <row r="62990" customFormat="false" ht="12.75" hidden="false" customHeight="true" outlineLevel="0" collapsed="false"/>
    <row r="62991" customFormat="false" ht="12.75" hidden="false" customHeight="true" outlineLevel="0" collapsed="false"/>
    <row r="62992" customFormat="false" ht="12.75" hidden="false" customHeight="true" outlineLevel="0" collapsed="false"/>
    <row r="62993" customFormat="false" ht="12.75" hidden="false" customHeight="true" outlineLevel="0" collapsed="false"/>
    <row r="62994" customFormat="false" ht="12.75" hidden="false" customHeight="true" outlineLevel="0" collapsed="false"/>
    <row r="62995" customFormat="false" ht="12.75" hidden="false" customHeight="true" outlineLevel="0" collapsed="false"/>
    <row r="62996" customFormat="false" ht="12.75" hidden="false" customHeight="true" outlineLevel="0" collapsed="false"/>
    <row r="62997" customFormat="false" ht="12.75" hidden="false" customHeight="true" outlineLevel="0" collapsed="false"/>
    <row r="62998" customFormat="false" ht="12.75" hidden="false" customHeight="true" outlineLevel="0" collapsed="false"/>
    <row r="62999" customFormat="false" ht="12.75" hidden="false" customHeight="true" outlineLevel="0" collapsed="false"/>
    <row r="63000" customFormat="false" ht="12.75" hidden="false" customHeight="true" outlineLevel="0" collapsed="false"/>
    <row r="63001" customFormat="false" ht="12.75" hidden="false" customHeight="true" outlineLevel="0" collapsed="false"/>
    <row r="63002" customFormat="false" ht="12.75" hidden="false" customHeight="true" outlineLevel="0" collapsed="false"/>
    <row r="63003" customFormat="false" ht="12.75" hidden="false" customHeight="true" outlineLevel="0" collapsed="false"/>
    <row r="63004" customFormat="false" ht="12.75" hidden="false" customHeight="true" outlineLevel="0" collapsed="false"/>
    <row r="63005" customFormat="false" ht="12.75" hidden="false" customHeight="true" outlineLevel="0" collapsed="false"/>
    <row r="63006" customFormat="false" ht="12.75" hidden="false" customHeight="true" outlineLevel="0" collapsed="false"/>
    <row r="63007" customFormat="false" ht="12.75" hidden="false" customHeight="true" outlineLevel="0" collapsed="false"/>
    <row r="63008" customFormat="false" ht="12.75" hidden="false" customHeight="true" outlineLevel="0" collapsed="false"/>
    <row r="63009" customFormat="false" ht="12.75" hidden="false" customHeight="true" outlineLevel="0" collapsed="false"/>
    <row r="63010" customFormat="false" ht="12.75" hidden="false" customHeight="true" outlineLevel="0" collapsed="false"/>
    <row r="63011" customFormat="false" ht="12.75" hidden="false" customHeight="true" outlineLevel="0" collapsed="false"/>
    <row r="63012" customFormat="false" ht="12.75" hidden="false" customHeight="true" outlineLevel="0" collapsed="false"/>
    <row r="63013" customFormat="false" ht="12.75" hidden="false" customHeight="true" outlineLevel="0" collapsed="false"/>
    <row r="63014" customFormat="false" ht="12.75" hidden="false" customHeight="true" outlineLevel="0" collapsed="false"/>
    <row r="63015" customFormat="false" ht="12.75" hidden="false" customHeight="true" outlineLevel="0" collapsed="false"/>
    <row r="63016" customFormat="false" ht="12.75" hidden="false" customHeight="true" outlineLevel="0" collapsed="false"/>
    <row r="63017" customFormat="false" ht="12.75" hidden="false" customHeight="true" outlineLevel="0" collapsed="false"/>
    <row r="63018" customFormat="false" ht="12.75" hidden="false" customHeight="true" outlineLevel="0" collapsed="false"/>
    <row r="63019" customFormat="false" ht="12.75" hidden="false" customHeight="true" outlineLevel="0" collapsed="false"/>
    <row r="63020" customFormat="false" ht="12.75" hidden="false" customHeight="true" outlineLevel="0" collapsed="false"/>
    <row r="63021" customFormat="false" ht="12.75" hidden="false" customHeight="true" outlineLevel="0" collapsed="false"/>
    <row r="63022" customFormat="false" ht="12.75" hidden="false" customHeight="true" outlineLevel="0" collapsed="false"/>
    <row r="63023" customFormat="false" ht="12.75" hidden="false" customHeight="true" outlineLevel="0" collapsed="false"/>
    <row r="63024" customFormat="false" ht="12.75" hidden="false" customHeight="true" outlineLevel="0" collapsed="false"/>
    <row r="63025" customFormat="false" ht="12.75" hidden="false" customHeight="true" outlineLevel="0" collapsed="false"/>
    <row r="63026" customFormat="false" ht="12.75" hidden="false" customHeight="true" outlineLevel="0" collapsed="false"/>
    <row r="63027" customFormat="false" ht="12.75" hidden="false" customHeight="true" outlineLevel="0" collapsed="false"/>
    <row r="63028" customFormat="false" ht="12.75" hidden="false" customHeight="true" outlineLevel="0" collapsed="false"/>
    <row r="63029" customFormat="false" ht="12.75" hidden="false" customHeight="true" outlineLevel="0" collapsed="false"/>
    <row r="63030" customFormat="false" ht="12.75" hidden="false" customHeight="true" outlineLevel="0" collapsed="false"/>
    <row r="63031" customFormat="false" ht="12.75" hidden="false" customHeight="true" outlineLevel="0" collapsed="false"/>
    <row r="63032" customFormat="false" ht="12.75" hidden="false" customHeight="true" outlineLevel="0" collapsed="false"/>
    <row r="63033" customFormat="false" ht="12.75" hidden="false" customHeight="true" outlineLevel="0" collapsed="false"/>
    <row r="63034" customFormat="false" ht="12.75" hidden="false" customHeight="true" outlineLevel="0" collapsed="false"/>
    <row r="63035" customFormat="false" ht="12.75" hidden="false" customHeight="true" outlineLevel="0" collapsed="false"/>
    <row r="63036" customFormat="false" ht="12.75" hidden="false" customHeight="true" outlineLevel="0" collapsed="false"/>
    <row r="63037" customFormat="false" ht="12.75" hidden="false" customHeight="true" outlineLevel="0" collapsed="false"/>
    <row r="63038" customFormat="false" ht="12.75" hidden="false" customHeight="true" outlineLevel="0" collapsed="false"/>
    <row r="63039" customFormat="false" ht="12.75" hidden="false" customHeight="true" outlineLevel="0" collapsed="false"/>
    <row r="63040" customFormat="false" ht="12.75" hidden="false" customHeight="true" outlineLevel="0" collapsed="false"/>
    <row r="63041" customFormat="false" ht="12.75" hidden="false" customHeight="true" outlineLevel="0" collapsed="false"/>
    <row r="63042" customFormat="false" ht="12.75" hidden="false" customHeight="true" outlineLevel="0" collapsed="false"/>
    <row r="63043" customFormat="false" ht="12.75" hidden="false" customHeight="true" outlineLevel="0" collapsed="false"/>
    <row r="63044" customFormat="false" ht="12.75" hidden="false" customHeight="true" outlineLevel="0" collapsed="false"/>
    <row r="63045" customFormat="false" ht="12.75" hidden="false" customHeight="true" outlineLevel="0" collapsed="false"/>
    <row r="63046" customFormat="false" ht="12.75" hidden="false" customHeight="true" outlineLevel="0" collapsed="false"/>
    <row r="63047" customFormat="false" ht="12.75" hidden="false" customHeight="true" outlineLevel="0" collapsed="false"/>
    <row r="63048" customFormat="false" ht="12.75" hidden="false" customHeight="true" outlineLevel="0" collapsed="false"/>
    <row r="63049" customFormat="false" ht="12.75" hidden="false" customHeight="true" outlineLevel="0" collapsed="false"/>
    <row r="63050" customFormat="false" ht="12.75" hidden="false" customHeight="true" outlineLevel="0" collapsed="false"/>
    <row r="63051" customFormat="false" ht="12.75" hidden="false" customHeight="true" outlineLevel="0" collapsed="false"/>
    <row r="63052" customFormat="false" ht="12.75" hidden="false" customHeight="true" outlineLevel="0" collapsed="false"/>
    <row r="63053" customFormat="false" ht="12.75" hidden="false" customHeight="true" outlineLevel="0" collapsed="false"/>
    <row r="63054" customFormat="false" ht="12.75" hidden="false" customHeight="true" outlineLevel="0" collapsed="false"/>
    <row r="63055" customFormat="false" ht="12.75" hidden="false" customHeight="true" outlineLevel="0" collapsed="false"/>
    <row r="63056" customFormat="false" ht="12.75" hidden="false" customHeight="true" outlineLevel="0" collapsed="false"/>
    <row r="63057" customFormat="false" ht="12.75" hidden="false" customHeight="true" outlineLevel="0" collapsed="false"/>
    <row r="63058" customFormat="false" ht="12.75" hidden="false" customHeight="true" outlineLevel="0" collapsed="false"/>
    <row r="63059" customFormat="false" ht="12.75" hidden="false" customHeight="true" outlineLevel="0" collapsed="false"/>
    <row r="63060" customFormat="false" ht="12.75" hidden="false" customHeight="true" outlineLevel="0" collapsed="false"/>
    <row r="63061" customFormat="false" ht="12.75" hidden="false" customHeight="true" outlineLevel="0" collapsed="false"/>
    <row r="63062" customFormat="false" ht="12.75" hidden="false" customHeight="true" outlineLevel="0" collapsed="false"/>
    <row r="63063" customFormat="false" ht="12.75" hidden="false" customHeight="true" outlineLevel="0" collapsed="false"/>
    <row r="63064" customFormat="false" ht="12.75" hidden="false" customHeight="true" outlineLevel="0" collapsed="false"/>
    <row r="63065" customFormat="false" ht="12.75" hidden="false" customHeight="true" outlineLevel="0" collapsed="false"/>
    <row r="63066" customFormat="false" ht="12.75" hidden="false" customHeight="true" outlineLevel="0" collapsed="false"/>
    <row r="63067" customFormat="false" ht="12.75" hidden="false" customHeight="true" outlineLevel="0" collapsed="false"/>
    <row r="63068" customFormat="false" ht="12.75" hidden="false" customHeight="true" outlineLevel="0" collapsed="false"/>
    <row r="63069" customFormat="false" ht="12.75" hidden="false" customHeight="true" outlineLevel="0" collapsed="false"/>
    <row r="63070" customFormat="false" ht="12.75" hidden="false" customHeight="true" outlineLevel="0" collapsed="false"/>
    <row r="63071" customFormat="false" ht="12.75" hidden="false" customHeight="true" outlineLevel="0" collapsed="false"/>
    <row r="63072" customFormat="false" ht="12.75" hidden="false" customHeight="true" outlineLevel="0" collapsed="false"/>
    <row r="63073" customFormat="false" ht="12.75" hidden="false" customHeight="true" outlineLevel="0" collapsed="false"/>
    <row r="63074" customFormat="false" ht="12.75" hidden="false" customHeight="true" outlineLevel="0" collapsed="false"/>
    <row r="63075" customFormat="false" ht="12.75" hidden="false" customHeight="true" outlineLevel="0" collapsed="false"/>
    <row r="63076" customFormat="false" ht="12.75" hidden="false" customHeight="true" outlineLevel="0" collapsed="false"/>
    <row r="63077" customFormat="false" ht="12.75" hidden="false" customHeight="true" outlineLevel="0" collapsed="false"/>
    <row r="63078" customFormat="false" ht="12.75" hidden="false" customHeight="true" outlineLevel="0" collapsed="false"/>
    <row r="63079" customFormat="false" ht="12.75" hidden="false" customHeight="true" outlineLevel="0" collapsed="false"/>
    <row r="63080" customFormat="false" ht="12.75" hidden="false" customHeight="true" outlineLevel="0" collapsed="false"/>
    <row r="63081" customFormat="false" ht="12.75" hidden="false" customHeight="true" outlineLevel="0" collapsed="false"/>
    <row r="63082" customFormat="false" ht="12.75" hidden="false" customHeight="true" outlineLevel="0" collapsed="false"/>
    <row r="63083" customFormat="false" ht="12.75" hidden="false" customHeight="true" outlineLevel="0" collapsed="false"/>
    <row r="63084" customFormat="false" ht="12.75" hidden="false" customHeight="true" outlineLevel="0" collapsed="false"/>
    <row r="63085" customFormat="false" ht="12.75" hidden="false" customHeight="true" outlineLevel="0" collapsed="false"/>
    <row r="63086" customFormat="false" ht="12.75" hidden="false" customHeight="true" outlineLevel="0" collapsed="false"/>
    <row r="63087" customFormat="false" ht="12.75" hidden="false" customHeight="true" outlineLevel="0" collapsed="false"/>
    <row r="63088" customFormat="false" ht="12.75" hidden="false" customHeight="true" outlineLevel="0" collapsed="false"/>
    <row r="63089" customFormat="false" ht="12.75" hidden="false" customHeight="true" outlineLevel="0" collapsed="false"/>
    <row r="63090" customFormat="false" ht="12.75" hidden="false" customHeight="true" outlineLevel="0" collapsed="false"/>
    <row r="63091" customFormat="false" ht="12.75" hidden="false" customHeight="true" outlineLevel="0" collapsed="false"/>
    <row r="63092" customFormat="false" ht="12.75" hidden="false" customHeight="true" outlineLevel="0" collapsed="false"/>
    <row r="63093" customFormat="false" ht="12.75" hidden="false" customHeight="true" outlineLevel="0" collapsed="false"/>
    <row r="63094" customFormat="false" ht="12.75" hidden="false" customHeight="true" outlineLevel="0" collapsed="false"/>
    <row r="63095" customFormat="false" ht="12.75" hidden="false" customHeight="true" outlineLevel="0" collapsed="false"/>
    <row r="63096" customFormat="false" ht="12.75" hidden="false" customHeight="true" outlineLevel="0" collapsed="false"/>
    <row r="63097" customFormat="false" ht="12.75" hidden="false" customHeight="true" outlineLevel="0" collapsed="false"/>
    <row r="63098" customFormat="false" ht="12.75" hidden="false" customHeight="true" outlineLevel="0" collapsed="false"/>
    <row r="63099" customFormat="false" ht="12.75" hidden="false" customHeight="true" outlineLevel="0" collapsed="false"/>
    <row r="63100" customFormat="false" ht="12.75" hidden="false" customHeight="true" outlineLevel="0" collapsed="false"/>
    <row r="63101" customFormat="false" ht="12.75" hidden="false" customHeight="true" outlineLevel="0" collapsed="false"/>
    <row r="63102" customFormat="false" ht="12.75" hidden="false" customHeight="true" outlineLevel="0" collapsed="false"/>
    <row r="63103" customFormat="false" ht="12.75" hidden="false" customHeight="true" outlineLevel="0" collapsed="false"/>
    <row r="63104" customFormat="false" ht="12.75" hidden="false" customHeight="true" outlineLevel="0" collapsed="false"/>
    <row r="63105" customFormat="false" ht="12.75" hidden="false" customHeight="true" outlineLevel="0" collapsed="false"/>
    <row r="63106" customFormat="false" ht="12.75" hidden="false" customHeight="true" outlineLevel="0" collapsed="false"/>
    <row r="63107" customFormat="false" ht="12.75" hidden="false" customHeight="true" outlineLevel="0" collapsed="false"/>
    <row r="63108" customFormat="false" ht="12.75" hidden="false" customHeight="true" outlineLevel="0" collapsed="false"/>
    <row r="63109" customFormat="false" ht="12.75" hidden="false" customHeight="true" outlineLevel="0" collapsed="false"/>
    <row r="63110" customFormat="false" ht="12.75" hidden="false" customHeight="true" outlineLevel="0" collapsed="false"/>
    <row r="63111" customFormat="false" ht="12.75" hidden="false" customHeight="true" outlineLevel="0" collapsed="false"/>
    <row r="63112" customFormat="false" ht="12.75" hidden="false" customHeight="true" outlineLevel="0" collapsed="false"/>
    <row r="63113" customFormat="false" ht="12.75" hidden="false" customHeight="true" outlineLevel="0" collapsed="false"/>
    <row r="63114" customFormat="false" ht="12.75" hidden="false" customHeight="true" outlineLevel="0" collapsed="false"/>
    <row r="63115" customFormat="false" ht="12.75" hidden="false" customHeight="true" outlineLevel="0" collapsed="false"/>
    <row r="63116" customFormat="false" ht="12.75" hidden="false" customHeight="true" outlineLevel="0" collapsed="false"/>
    <row r="63117" customFormat="false" ht="12.75" hidden="false" customHeight="true" outlineLevel="0" collapsed="false"/>
    <row r="63118" customFormat="false" ht="12.75" hidden="false" customHeight="true" outlineLevel="0" collapsed="false"/>
    <row r="63119" customFormat="false" ht="12.75" hidden="false" customHeight="true" outlineLevel="0" collapsed="false"/>
    <row r="63120" customFormat="false" ht="12.75" hidden="false" customHeight="true" outlineLevel="0" collapsed="false"/>
    <row r="63121" customFormat="false" ht="12.75" hidden="false" customHeight="true" outlineLevel="0" collapsed="false"/>
    <row r="63122" customFormat="false" ht="12.75" hidden="false" customHeight="true" outlineLevel="0" collapsed="false"/>
    <row r="63123" customFormat="false" ht="12.75" hidden="false" customHeight="true" outlineLevel="0" collapsed="false"/>
    <row r="63124" customFormat="false" ht="12.75" hidden="false" customHeight="true" outlineLevel="0" collapsed="false"/>
    <row r="63125" customFormat="false" ht="12.75" hidden="false" customHeight="true" outlineLevel="0" collapsed="false"/>
    <row r="63126" customFormat="false" ht="12.75" hidden="false" customHeight="true" outlineLevel="0" collapsed="false"/>
    <row r="63127" customFormat="false" ht="12.75" hidden="false" customHeight="true" outlineLevel="0" collapsed="false"/>
    <row r="63128" customFormat="false" ht="12.75" hidden="false" customHeight="true" outlineLevel="0" collapsed="false"/>
    <row r="63129" customFormat="false" ht="12.75" hidden="false" customHeight="true" outlineLevel="0" collapsed="false"/>
    <row r="63130" customFormat="false" ht="12.75" hidden="false" customHeight="true" outlineLevel="0" collapsed="false"/>
    <row r="63131" customFormat="false" ht="12.75" hidden="false" customHeight="true" outlineLevel="0" collapsed="false"/>
    <row r="63132" customFormat="false" ht="12.75" hidden="false" customHeight="true" outlineLevel="0" collapsed="false"/>
    <row r="63133" customFormat="false" ht="12.75" hidden="false" customHeight="true" outlineLevel="0" collapsed="false"/>
    <row r="63134" customFormat="false" ht="12.75" hidden="false" customHeight="true" outlineLevel="0" collapsed="false"/>
    <row r="63135" customFormat="false" ht="12.75" hidden="false" customHeight="true" outlineLevel="0" collapsed="false"/>
    <row r="63136" customFormat="false" ht="12.75" hidden="false" customHeight="true" outlineLevel="0" collapsed="false"/>
    <row r="63137" customFormat="false" ht="12.75" hidden="false" customHeight="true" outlineLevel="0" collapsed="false"/>
    <row r="63138" customFormat="false" ht="12.75" hidden="false" customHeight="true" outlineLevel="0" collapsed="false"/>
    <row r="63139" customFormat="false" ht="12.75" hidden="false" customHeight="true" outlineLevel="0" collapsed="false"/>
    <row r="63140" customFormat="false" ht="12.75" hidden="false" customHeight="true" outlineLevel="0" collapsed="false"/>
    <row r="63141" customFormat="false" ht="12.75" hidden="false" customHeight="true" outlineLevel="0" collapsed="false"/>
    <row r="63142" customFormat="false" ht="12.75" hidden="false" customHeight="true" outlineLevel="0" collapsed="false"/>
    <row r="63143" customFormat="false" ht="12.75" hidden="false" customHeight="true" outlineLevel="0" collapsed="false"/>
    <row r="63144" customFormat="false" ht="12.75" hidden="false" customHeight="true" outlineLevel="0" collapsed="false"/>
    <row r="63145" customFormat="false" ht="12.75" hidden="false" customHeight="true" outlineLevel="0" collapsed="false"/>
    <row r="63146" customFormat="false" ht="12.75" hidden="false" customHeight="true" outlineLevel="0" collapsed="false"/>
    <row r="63147" customFormat="false" ht="12.75" hidden="false" customHeight="true" outlineLevel="0" collapsed="false"/>
    <row r="63148" customFormat="false" ht="12.75" hidden="false" customHeight="true" outlineLevel="0" collapsed="false"/>
    <row r="63149" customFormat="false" ht="12.75" hidden="false" customHeight="true" outlineLevel="0" collapsed="false"/>
    <row r="63150" customFormat="false" ht="12.75" hidden="false" customHeight="true" outlineLevel="0" collapsed="false"/>
    <row r="63151" customFormat="false" ht="12.75" hidden="false" customHeight="true" outlineLevel="0" collapsed="false"/>
    <row r="63152" customFormat="false" ht="12.75" hidden="false" customHeight="true" outlineLevel="0" collapsed="false"/>
    <row r="63153" customFormat="false" ht="12.75" hidden="false" customHeight="true" outlineLevel="0" collapsed="false"/>
    <row r="63154" customFormat="false" ht="12.75" hidden="false" customHeight="true" outlineLevel="0" collapsed="false"/>
    <row r="63155" customFormat="false" ht="12.75" hidden="false" customHeight="true" outlineLevel="0" collapsed="false"/>
    <row r="63156" customFormat="false" ht="12.75" hidden="false" customHeight="true" outlineLevel="0" collapsed="false"/>
    <row r="63157" customFormat="false" ht="12.75" hidden="false" customHeight="true" outlineLevel="0" collapsed="false"/>
    <row r="63158" customFormat="false" ht="12.75" hidden="false" customHeight="true" outlineLevel="0" collapsed="false"/>
    <row r="63159" customFormat="false" ht="12.75" hidden="false" customHeight="true" outlineLevel="0" collapsed="false"/>
    <row r="63160" customFormat="false" ht="12.75" hidden="false" customHeight="true" outlineLevel="0" collapsed="false"/>
    <row r="63161" customFormat="false" ht="12.75" hidden="false" customHeight="true" outlineLevel="0" collapsed="false"/>
    <row r="63162" customFormat="false" ht="12.75" hidden="false" customHeight="true" outlineLevel="0" collapsed="false"/>
    <row r="63163" customFormat="false" ht="12.75" hidden="false" customHeight="true" outlineLevel="0" collapsed="false"/>
    <row r="63164" customFormat="false" ht="12.75" hidden="false" customHeight="true" outlineLevel="0" collapsed="false"/>
    <row r="63165" customFormat="false" ht="12.75" hidden="false" customHeight="true" outlineLevel="0" collapsed="false"/>
    <row r="63166" customFormat="false" ht="12.75" hidden="false" customHeight="true" outlineLevel="0" collapsed="false"/>
    <row r="63167" customFormat="false" ht="12.75" hidden="false" customHeight="true" outlineLevel="0" collapsed="false"/>
    <row r="63168" customFormat="false" ht="12.75" hidden="false" customHeight="true" outlineLevel="0" collapsed="false"/>
    <row r="63169" customFormat="false" ht="12.75" hidden="false" customHeight="true" outlineLevel="0" collapsed="false"/>
    <row r="63170" customFormat="false" ht="12.75" hidden="false" customHeight="true" outlineLevel="0" collapsed="false"/>
    <row r="63171" customFormat="false" ht="12.75" hidden="false" customHeight="true" outlineLevel="0" collapsed="false"/>
    <row r="63172" customFormat="false" ht="12.75" hidden="false" customHeight="true" outlineLevel="0" collapsed="false"/>
    <row r="63173" customFormat="false" ht="12.75" hidden="false" customHeight="true" outlineLevel="0" collapsed="false"/>
    <row r="63174" customFormat="false" ht="12.75" hidden="false" customHeight="true" outlineLevel="0" collapsed="false"/>
    <row r="63175" customFormat="false" ht="12.75" hidden="false" customHeight="true" outlineLevel="0" collapsed="false"/>
    <row r="63176" customFormat="false" ht="12.75" hidden="false" customHeight="true" outlineLevel="0" collapsed="false"/>
    <row r="63177" customFormat="false" ht="12.75" hidden="false" customHeight="true" outlineLevel="0" collapsed="false"/>
    <row r="63178" customFormat="false" ht="12.75" hidden="false" customHeight="true" outlineLevel="0" collapsed="false"/>
    <row r="63179" customFormat="false" ht="12.75" hidden="false" customHeight="true" outlineLevel="0" collapsed="false"/>
    <row r="63180" customFormat="false" ht="12.75" hidden="false" customHeight="true" outlineLevel="0" collapsed="false"/>
    <row r="63181" customFormat="false" ht="12.75" hidden="false" customHeight="true" outlineLevel="0" collapsed="false"/>
    <row r="63182" customFormat="false" ht="12.75" hidden="false" customHeight="true" outlineLevel="0" collapsed="false"/>
    <row r="63183" customFormat="false" ht="12.75" hidden="false" customHeight="true" outlineLevel="0" collapsed="false"/>
    <row r="63184" customFormat="false" ht="12.75" hidden="false" customHeight="true" outlineLevel="0" collapsed="false"/>
    <row r="63185" customFormat="false" ht="12.75" hidden="false" customHeight="true" outlineLevel="0" collapsed="false"/>
    <row r="63186" customFormat="false" ht="12.75" hidden="false" customHeight="true" outlineLevel="0" collapsed="false"/>
    <row r="63187" customFormat="false" ht="12.75" hidden="false" customHeight="true" outlineLevel="0" collapsed="false"/>
    <row r="63188" customFormat="false" ht="12.75" hidden="false" customHeight="true" outlineLevel="0" collapsed="false"/>
    <row r="63189" customFormat="false" ht="12.75" hidden="false" customHeight="true" outlineLevel="0" collapsed="false"/>
    <row r="63190" customFormat="false" ht="12.75" hidden="false" customHeight="true" outlineLevel="0" collapsed="false"/>
    <row r="63191" customFormat="false" ht="12.75" hidden="false" customHeight="true" outlineLevel="0" collapsed="false"/>
    <row r="63192" customFormat="false" ht="12.75" hidden="false" customHeight="true" outlineLevel="0" collapsed="false"/>
    <row r="63193" customFormat="false" ht="12.75" hidden="false" customHeight="true" outlineLevel="0" collapsed="false"/>
    <row r="63194" customFormat="false" ht="12.75" hidden="false" customHeight="true" outlineLevel="0" collapsed="false"/>
    <row r="63195" customFormat="false" ht="12.75" hidden="false" customHeight="true" outlineLevel="0" collapsed="false"/>
    <row r="63196" customFormat="false" ht="12.75" hidden="false" customHeight="true" outlineLevel="0" collapsed="false"/>
    <row r="63197" customFormat="false" ht="12.75" hidden="false" customHeight="true" outlineLevel="0" collapsed="false"/>
    <row r="63198" customFormat="false" ht="12.75" hidden="false" customHeight="true" outlineLevel="0" collapsed="false"/>
    <row r="63199" customFormat="false" ht="12.75" hidden="false" customHeight="true" outlineLevel="0" collapsed="false"/>
    <row r="63200" customFormat="false" ht="12.75" hidden="false" customHeight="true" outlineLevel="0" collapsed="false"/>
    <row r="63201" customFormat="false" ht="12.75" hidden="false" customHeight="true" outlineLevel="0" collapsed="false"/>
    <row r="63202" customFormat="false" ht="12.75" hidden="false" customHeight="true" outlineLevel="0" collapsed="false"/>
    <row r="63203" customFormat="false" ht="12.75" hidden="false" customHeight="true" outlineLevel="0" collapsed="false"/>
    <row r="63204" customFormat="false" ht="12.75" hidden="false" customHeight="true" outlineLevel="0" collapsed="false"/>
    <row r="63205" customFormat="false" ht="12.75" hidden="false" customHeight="true" outlineLevel="0" collapsed="false"/>
    <row r="63206" customFormat="false" ht="12.75" hidden="false" customHeight="true" outlineLevel="0" collapsed="false"/>
    <row r="63207" customFormat="false" ht="12.75" hidden="false" customHeight="true" outlineLevel="0" collapsed="false"/>
    <row r="63208" customFormat="false" ht="12.75" hidden="false" customHeight="true" outlineLevel="0" collapsed="false"/>
    <row r="63209" customFormat="false" ht="12.75" hidden="false" customHeight="true" outlineLevel="0" collapsed="false"/>
    <row r="63210" customFormat="false" ht="12.75" hidden="false" customHeight="true" outlineLevel="0" collapsed="false"/>
    <row r="63211" customFormat="false" ht="12.75" hidden="false" customHeight="true" outlineLevel="0" collapsed="false"/>
    <row r="63212" customFormat="false" ht="12.75" hidden="false" customHeight="true" outlineLevel="0" collapsed="false"/>
    <row r="63213" customFormat="false" ht="12.75" hidden="false" customHeight="true" outlineLevel="0" collapsed="false"/>
    <row r="63214" customFormat="false" ht="12.75" hidden="false" customHeight="true" outlineLevel="0" collapsed="false"/>
    <row r="63215" customFormat="false" ht="12.75" hidden="false" customHeight="true" outlineLevel="0" collapsed="false"/>
    <row r="63216" customFormat="false" ht="12.75" hidden="false" customHeight="true" outlineLevel="0" collapsed="false"/>
    <row r="63217" customFormat="false" ht="12.75" hidden="false" customHeight="true" outlineLevel="0" collapsed="false"/>
    <row r="63218" customFormat="false" ht="12.75" hidden="false" customHeight="true" outlineLevel="0" collapsed="false"/>
    <row r="63219" customFormat="false" ht="12.75" hidden="false" customHeight="true" outlineLevel="0" collapsed="false"/>
    <row r="63220" customFormat="false" ht="12.75" hidden="false" customHeight="true" outlineLevel="0" collapsed="false"/>
    <row r="63221" customFormat="false" ht="12.75" hidden="false" customHeight="true" outlineLevel="0" collapsed="false"/>
    <row r="63222" customFormat="false" ht="12.75" hidden="false" customHeight="true" outlineLevel="0" collapsed="false"/>
    <row r="63223" customFormat="false" ht="12.75" hidden="false" customHeight="true" outlineLevel="0" collapsed="false"/>
    <row r="63224" customFormat="false" ht="12.75" hidden="false" customHeight="true" outlineLevel="0" collapsed="false"/>
    <row r="63225" customFormat="false" ht="12.75" hidden="false" customHeight="true" outlineLevel="0" collapsed="false"/>
    <row r="63226" customFormat="false" ht="12.75" hidden="false" customHeight="true" outlineLevel="0" collapsed="false"/>
    <row r="63227" customFormat="false" ht="12.75" hidden="false" customHeight="true" outlineLevel="0" collapsed="false"/>
    <row r="63228" customFormat="false" ht="12.75" hidden="false" customHeight="true" outlineLevel="0" collapsed="false"/>
    <row r="63229" customFormat="false" ht="12.75" hidden="false" customHeight="true" outlineLevel="0" collapsed="false"/>
    <row r="63230" customFormat="false" ht="12.75" hidden="false" customHeight="true" outlineLevel="0" collapsed="false"/>
    <row r="63231" customFormat="false" ht="12.75" hidden="false" customHeight="true" outlineLevel="0" collapsed="false"/>
    <row r="63232" customFormat="false" ht="12.75" hidden="false" customHeight="true" outlineLevel="0" collapsed="false"/>
    <row r="63233" customFormat="false" ht="12.75" hidden="false" customHeight="true" outlineLevel="0" collapsed="false"/>
    <row r="63234" customFormat="false" ht="12.75" hidden="false" customHeight="true" outlineLevel="0" collapsed="false"/>
    <row r="63235" customFormat="false" ht="12.75" hidden="false" customHeight="true" outlineLevel="0" collapsed="false"/>
    <row r="63236" customFormat="false" ht="12.75" hidden="false" customHeight="true" outlineLevel="0" collapsed="false"/>
    <row r="63237" customFormat="false" ht="12.75" hidden="false" customHeight="true" outlineLevel="0" collapsed="false"/>
    <row r="63238" customFormat="false" ht="12.75" hidden="false" customHeight="true" outlineLevel="0" collapsed="false"/>
    <row r="63239" customFormat="false" ht="12.75" hidden="false" customHeight="true" outlineLevel="0" collapsed="false"/>
    <row r="63240" customFormat="false" ht="12.75" hidden="false" customHeight="true" outlineLevel="0" collapsed="false"/>
    <row r="63241" customFormat="false" ht="12.75" hidden="false" customHeight="true" outlineLevel="0" collapsed="false"/>
    <row r="63242" customFormat="false" ht="12.75" hidden="false" customHeight="true" outlineLevel="0" collapsed="false"/>
    <row r="63243" customFormat="false" ht="12.75" hidden="false" customHeight="true" outlineLevel="0" collapsed="false"/>
    <row r="63244" customFormat="false" ht="12.75" hidden="false" customHeight="true" outlineLevel="0" collapsed="false"/>
    <row r="63245" customFormat="false" ht="12.75" hidden="false" customHeight="true" outlineLevel="0" collapsed="false"/>
    <row r="63246" customFormat="false" ht="12.75" hidden="false" customHeight="true" outlineLevel="0" collapsed="false"/>
    <row r="63247" customFormat="false" ht="12.75" hidden="false" customHeight="true" outlineLevel="0" collapsed="false"/>
    <row r="63248" customFormat="false" ht="12.75" hidden="false" customHeight="true" outlineLevel="0" collapsed="false"/>
    <row r="63249" customFormat="false" ht="12.75" hidden="false" customHeight="true" outlineLevel="0" collapsed="false"/>
    <row r="63250" customFormat="false" ht="12.75" hidden="false" customHeight="true" outlineLevel="0" collapsed="false"/>
    <row r="63251" customFormat="false" ht="12.75" hidden="false" customHeight="true" outlineLevel="0" collapsed="false"/>
    <row r="63252" customFormat="false" ht="12.75" hidden="false" customHeight="true" outlineLevel="0" collapsed="false"/>
    <row r="63253" customFormat="false" ht="12.75" hidden="false" customHeight="true" outlineLevel="0" collapsed="false"/>
    <row r="63254" customFormat="false" ht="12.75" hidden="false" customHeight="true" outlineLevel="0" collapsed="false"/>
    <row r="63255" customFormat="false" ht="12.75" hidden="false" customHeight="true" outlineLevel="0" collapsed="false"/>
    <row r="63256" customFormat="false" ht="12.75" hidden="false" customHeight="true" outlineLevel="0" collapsed="false"/>
    <row r="63257" customFormat="false" ht="12.75" hidden="false" customHeight="true" outlineLevel="0" collapsed="false"/>
    <row r="63258" customFormat="false" ht="12.75" hidden="false" customHeight="true" outlineLevel="0" collapsed="false"/>
    <row r="63259" customFormat="false" ht="12.75" hidden="false" customHeight="true" outlineLevel="0" collapsed="false"/>
    <row r="63260" customFormat="false" ht="12.75" hidden="false" customHeight="true" outlineLevel="0" collapsed="false"/>
    <row r="63261" customFormat="false" ht="12.75" hidden="false" customHeight="true" outlineLevel="0" collapsed="false"/>
    <row r="63262" customFormat="false" ht="12.75" hidden="false" customHeight="true" outlineLevel="0" collapsed="false"/>
    <row r="63263" customFormat="false" ht="12.75" hidden="false" customHeight="true" outlineLevel="0" collapsed="false"/>
    <row r="63264" customFormat="false" ht="12.75" hidden="false" customHeight="true" outlineLevel="0" collapsed="false"/>
    <row r="63265" customFormat="false" ht="12.75" hidden="false" customHeight="true" outlineLevel="0" collapsed="false"/>
    <row r="63266" customFormat="false" ht="12.75" hidden="false" customHeight="true" outlineLevel="0" collapsed="false"/>
    <row r="63267" customFormat="false" ht="12.75" hidden="false" customHeight="true" outlineLevel="0" collapsed="false"/>
    <row r="63268" customFormat="false" ht="12.75" hidden="false" customHeight="true" outlineLevel="0" collapsed="false"/>
    <row r="63269" customFormat="false" ht="12.75" hidden="false" customHeight="true" outlineLevel="0" collapsed="false"/>
    <row r="63270" customFormat="false" ht="12.75" hidden="false" customHeight="true" outlineLevel="0" collapsed="false"/>
    <row r="63271" customFormat="false" ht="12.75" hidden="false" customHeight="true" outlineLevel="0" collapsed="false"/>
    <row r="63272" customFormat="false" ht="12.75" hidden="false" customHeight="true" outlineLevel="0" collapsed="false"/>
    <row r="63273" customFormat="false" ht="12.75" hidden="false" customHeight="true" outlineLevel="0" collapsed="false"/>
    <row r="63274" customFormat="false" ht="12.75" hidden="false" customHeight="true" outlineLevel="0" collapsed="false"/>
    <row r="63275" customFormat="false" ht="12.75" hidden="false" customHeight="true" outlineLevel="0" collapsed="false"/>
    <row r="63276" customFormat="false" ht="12.75" hidden="false" customHeight="true" outlineLevel="0" collapsed="false"/>
    <row r="63277" customFormat="false" ht="12.75" hidden="false" customHeight="true" outlineLevel="0" collapsed="false"/>
    <row r="63278" customFormat="false" ht="12.75" hidden="false" customHeight="true" outlineLevel="0" collapsed="false"/>
    <row r="63279" customFormat="false" ht="12.75" hidden="false" customHeight="true" outlineLevel="0" collapsed="false"/>
    <row r="63280" customFormat="false" ht="12.75" hidden="false" customHeight="true" outlineLevel="0" collapsed="false"/>
    <row r="63281" customFormat="false" ht="12.75" hidden="false" customHeight="true" outlineLevel="0" collapsed="false"/>
    <row r="63282" customFormat="false" ht="12.75" hidden="false" customHeight="true" outlineLevel="0" collapsed="false"/>
    <row r="63283" customFormat="false" ht="12.75" hidden="false" customHeight="true" outlineLevel="0" collapsed="false"/>
    <row r="63284" customFormat="false" ht="12.75" hidden="false" customHeight="true" outlineLevel="0" collapsed="false"/>
    <row r="63285" customFormat="false" ht="12.75" hidden="false" customHeight="true" outlineLevel="0" collapsed="false"/>
    <row r="63286" customFormat="false" ht="12.75" hidden="false" customHeight="true" outlineLevel="0" collapsed="false"/>
    <row r="63287" customFormat="false" ht="12.75" hidden="false" customHeight="true" outlineLevel="0" collapsed="false"/>
    <row r="63288" customFormat="false" ht="12.75" hidden="false" customHeight="true" outlineLevel="0" collapsed="false"/>
    <row r="63289" customFormat="false" ht="12.75" hidden="false" customHeight="true" outlineLevel="0" collapsed="false"/>
    <row r="63290" customFormat="false" ht="12.75" hidden="false" customHeight="true" outlineLevel="0" collapsed="false"/>
    <row r="63291" customFormat="false" ht="12.75" hidden="false" customHeight="true" outlineLevel="0" collapsed="false"/>
    <row r="63292" customFormat="false" ht="12.75" hidden="false" customHeight="true" outlineLevel="0" collapsed="false"/>
    <row r="63293" customFormat="false" ht="12.75" hidden="false" customHeight="true" outlineLevel="0" collapsed="false"/>
    <row r="63294" customFormat="false" ht="12.75" hidden="false" customHeight="true" outlineLevel="0" collapsed="false"/>
    <row r="63295" customFormat="false" ht="12.75" hidden="false" customHeight="true" outlineLevel="0" collapsed="false"/>
    <row r="63296" customFormat="false" ht="12.75" hidden="false" customHeight="true" outlineLevel="0" collapsed="false"/>
    <row r="63297" customFormat="false" ht="12.75" hidden="false" customHeight="true" outlineLevel="0" collapsed="false"/>
    <row r="63298" customFormat="false" ht="12.75" hidden="false" customHeight="true" outlineLevel="0" collapsed="false"/>
    <row r="63299" customFormat="false" ht="12.75" hidden="false" customHeight="true" outlineLevel="0" collapsed="false"/>
    <row r="63300" customFormat="false" ht="12.75" hidden="false" customHeight="true" outlineLevel="0" collapsed="false"/>
    <row r="63301" customFormat="false" ht="12.75" hidden="false" customHeight="true" outlineLevel="0" collapsed="false"/>
    <row r="63302" customFormat="false" ht="12.75" hidden="false" customHeight="true" outlineLevel="0" collapsed="false"/>
    <row r="63303" customFormat="false" ht="12.75" hidden="false" customHeight="true" outlineLevel="0" collapsed="false"/>
    <row r="63304" customFormat="false" ht="12.75" hidden="false" customHeight="true" outlineLevel="0" collapsed="false"/>
    <row r="63305" customFormat="false" ht="12.75" hidden="false" customHeight="true" outlineLevel="0" collapsed="false"/>
    <row r="63306" customFormat="false" ht="12.75" hidden="false" customHeight="true" outlineLevel="0" collapsed="false"/>
    <row r="63307" customFormat="false" ht="12.75" hidden="false" customHeight="true" outlineLevel="0" collapsed="false"/>
    <row r="63308" customFormat="false" ht="12.75" hidden="false" customHeight="true" outlineLevel="0" collapsed="false"/>
    <row r="63309" customFormat="false" ht="12.75" hidden="false" customHeight="true" outlineLevel="0" collapsed="false"/>
    <row r="63310" customFormat="false" ht="12.75" hidden="false" customHeight="true" outlineLevel="0" collapsed="false"/>
    <row r="63311" customFormat="false" ht="12.75" hidden="false" customHeight="true" outlineLevel="0" collapsed="false"/>
    <row r="63312" customFormat="false" ht="12.75" hidden="false" customHeight="true" outlineLevel="0" collapsed="false"/>
    <row r="63313" customFormat="false" ht="12.75" hidden="false" customHeight="true" outlineLevel="0" collapsed="false"/>
    <row r="63314" customFormat="false" ht="12.75" hidden="false" customHeight="true" outlineLevel="0" collapsed="false"/>
    <row r="63315" customFormat="false" ht="12.75" hidden="false" customHeight="true" outlineLevel="0" collapsed="false"/>
    <row r="63316" customFormat="false" ht="12.75" hidden="false" customHeight="true" outlineLevel="0" collapsed="false"/>
    <row r="63317" customFormat="false" ht="12.75" hidden="false" customHeight="true" outlineLevel="0" collapsed="false"/>
    <row r="63318" customFormat="false" ht="12.75" hidden="false" customHeight="true" outlineLevel="0" collapsed="false"/>
    <row r="63319" customFormat="false" ht="12.75" hidden="false" customHeight="true" outlineLevel="0" collapsed="false"/>
    <row r="63320" customFormat="false" ht="12.75" hidden="false" customHeight="true" outlineLevel="0" collapsed="false"/>
    <row r="63321" customFormat="false" ht="12.75" hidden="false" customHeight="true" outlineLevel="0" collapsed="false"/>
    <row r="63322" customFormat="false" ht="12.75" hidden="false" customHeight="true" outlineLevel="0" collapsed="false"/>
    <row r="63323" customFormat="false" ht="12.75" hidden="false" customHeight="true" outlineLevel="0" collapsed="false"/>
    <row r="63324" customFormat="false" ht="12.75" hidden="false" customHeight="true" outlineLevel="0" collapsed="false"/>
    <row r="63325" customFormat="false" ht="12.75" hidden="false" customHeight="true" outlineLevel="0" collapsed="false"/>
    <row r="63326" customFormat="false" ht="12.75" hidden="false" customHeight="true" outlineLevel="0" collapsed="false"/>
    <row r="63327" customFormat="false" ht="12.75" hidden="false" customHeight="true" outlineLevel="0" collapsed="false"/>
    <row r="63328" customFormat="false" ht="12.75" hidden="false" customHeight="true" outlineLevel="0" collapsed="false"/>
    <row r="63329" customFormat="false" ht="12.75" hidden="false" customHeight="true" outlineLevel="0" collapsed="false"/>
    <row r="63330" customFormat="false" ht="12.75" hidden="false" customHeight="true" outlineLevel="0" collapsed="false"/>
    <row r="63331" customFormat="false" ht="12.75" hidden="false" customHeight="true" outlineLevel="0" collapsed="false"/>
    <row r="63332" customFormat="false" ht="12.75" hidden="false" customHeight="true" outlineLevel="0" collapsed="false"/>
    <row r="63333" customFormat="false" ht="12.75" hidden="false" customHeight="true" outlineLevel="0" collapsed="false"/>
    <row r="63334" customFormat="false" ht="12.75" hidden="false" customHeight="true" outlineLevel="0" collapsed="false"/>
    <row r="63335" customFormat="false" ht="12.75" hidden="false" customHeight="true" outlineLevel="0" collapsed="false"/>
    <row r="63336" customFormat="false" ht="12.75" hidden="false" customHeight="true" outlineLevel="0" collapsed="false"/>
    <row r="63337" customFormat="false" ht="12.75" hidden="false" customHeight="true" outlineLevel="0" collapsed="false"/>
    <row r="63338" customFormat="false" ht="12.75" hidden="false" customHeight="true" outlineLevel="0" collapsed="false"/>
    <row r="63339" customFormat="false" ht="12.75" hidden="false" customHeight="true" outlineLevel="0" collapsed="false"/>
    <row r="63340" customFormat="false" ht="12.75" hidden="false" customHeight="true" outlineLevel="0" collapsed="false"/>
    <row r="63341" customFormat="false" ht="12.75" hidden="false" customHeight="true" outlineLevel="0" collapsed="false"/>
    <row r="63342" customFormat="false" ht="12.75" hidden="false" customHeight="true" outlineLevel="0" collapsed="false"/>
    <row r="63343" customFormat="false" ht="12.75" hidden="false" customHeight="true" outlineLevel="0" collapsed="false"/>
    <row r="63344" customFormat="false" ht="12.75" hidden="false" customHeight="true" outlineLevel="0" collapsed="false"/>
    <row r="63345" customFormat="false" ht="12.75" hidden="false" customHeight="true" outlineLevel="0" collapsed="false"/>
    <row r="63346" customFormat="false" ht="12.75" hidden="false" customHeight="true" outlineLevel="0" collapsed="false"/>
    <row r="63347" customFormat="false" ht="12.75" hidden="false" customHeight="true" outlineLevel="0" collapsed="false"/>
    <row r="63348" customFormat="false" ht="12.75" hidden="false" customHeight="true" outlineLevel="0" collapsed="false"/>
    <row r="63349" customFormat="false" ht="12.75" hidden="false" customHeight="true" outlineLevel="0" collapsed="false"/>
    <row r="63350" customFormat="false" ht="12.75" hidden="false" customHeight="true" outlineLevel="0" collapsed="false"/>
    <row r="63351" customFormat="false" ht="12.75" hidden="false" customHeight="true" outlineLevel="0" collapsed="false"/>
    <row r="63352" customFormat="false" ht="12.75" hidden="false" customHeight="true" outlineLevel="0" collapsed="false"/>
    <row r="63353" customFormat="false" ht="12.75" hidden="false" customHeight="true" outlineLevel="0" collapsed="false"/>
    <row r="63354" customFormat="false" ht="12.75" hidden="false" customHeight="true" outlineLevel="0" collapsed="false"/>
    <row r="63355" customFormat="false" ht="12.75" hidden="false" customHeight="true" outlineLevel="0" collapsed="false"/>
    <row r="63356" customFormat="false" ht="12.75" hidden="false" customHeight="true" outlineLevel="0" collapsed="false"/>
    <row r="63357" customFormat="false" ht="12.75" hidden="false" customHeight="true" outlineLevel="0" collapsed="false"/>
    <row r="63358" customFormat="false" ht="12.75" hidden="false" customHeight="true" outlineLevel="0" collapsed="false"/>
    <row r="63359" customFormat="false" ht="12.75" hidden="false" customHeight="true" outlineLevel="0" collapsed="false"/>
    <row r="63360" customFormat="false" ht="12.75" hidden="false" customHeight="true" outlineLevel="0" collapsed="false"/>
    <row r="63361" customFormat="false" ht="12.75" hidden="false" customHeight="true" outlineLevel="0" collapsed="false"/>
    <row r="63362" customFormat="false" ht="12.75" hidden="false" customHeight="true" outlineLevel="0" collapsed="false"/>
    <row r="63363" customFormat="false" ht="12.75" hidden="false" customHeight="true" outlineLevel="0" collapsed="false"/>
    <row r="63364" customFormat="false" ht="12.75" hidden="false" customHeight="true" outlineLevel="0" collapsed="false"/>
    <row r="63365" customFormat="false" ht="12.75" hidden="false" customHeight="true" outlineLevel="0" collapsed="false"/>
    <row r="63366" customFormat="false" ht="12.75" hidden="false" customHeight="true" outlineLevel="0" collapsed="false"/>
    <row r="63367" customFormat="false" ht="12.75" hidden="false" customHeight="true" outlineLevel="0" collapsed="false"/>
    <row r="63368" customFormat="false" ht="12.75" hidden="false" customHeight="true" outlineLevel="0" collapsed="false"/>
    <row r="63369" customFormat="false" ht="12.75" hidden="false" customHeight="true" outlineLevel="0" collapsed="false"/>
    <row r="63370" customFormat="false" ht="12.75" hidden="false" customHeight="true" outlineLevel="0" collapsed="false"/>
    <row r="63371" customFormat="false" ht="12.75" hidden="false" customHeight="true" outlineLevel="0" collapsed="false"/>
    <row r="63372" customFormat="false" ht="12.75" hidden="false" customHeight="true" outlineLevel="0" collapsed="false"/>
    <row r="63373" customFormat="false" ht="12.75" hidden="false" customHeight="true" outlineLevel="0" collapsed="false"/>
    <row r="63374" customFormat="false" ht="12.75" hidden="false" customHeight="true" outlineLevel="0" collapsed="false"/>
    <row r="63375" customFormat="false" ht="12.75" hidden="false" customHeight="true" outlineLevel="0" collapsed="false"/>
    <row r="63376" customFormat="false" ht="12.75" hidden="false" customHeight="true" outlineLevel="0" collapsed="false"/>
    <row r="63377" customFormat="false" ht="12.75" hidden="false" customHeight="true" outlineLevel="0" collapsed="false"/>
    <row r="63378" customFormat="false" ht="12.75" hidden="false" customHeight="true" outlineLevel="0" collapsed="false"/>
    <row r="63379" customFormat="false" ht="12.75" hidden="false" customHeight="true" outlineLevel="0" collapsed="false"/>
    <row r="63380" customFormat="false" ht="12.75" hidden="false" customHeight="true" outlineLevel="0" collapsed="false"/>
    <row r="63381" customFormat="false" ht="12.75" hidden="false" customHeight="true" outlineLevel="0" collapsed="false"/>
    <row r="63382" customFormat="false" ht="12.75" hidden="false" customHeight="true" outlineLevel="0" collapsed="false"/>
    <row r="63383" customFormat="false" ht="12.75" hidden="false" customHeight="true" outlineLevel="0" collapsed="false"/>
    <row r="63384" customFormat="false" ht="12.75" hidden="false" customHeight="true" outlineLevel="0" collapsed="false"/>
    <row r="63385" customFormat="false" ht="12.75" hidden="false" customHeight="true" outlineLevel="0" collapsed="false"/>
    <row r="63386" customFormat="false" ht="12.75" hidden="false" customHeight="true" outlineLevel="0" collapsed="false"/>
    <row r="63387" customFormat="false" ht="12.75" hidden="false" customHeight="true" outlineLevel="0" collapsed="false"/>
    <row r="63388" customFormat="false" ht="12.75" hidden="false" customHeight="true" outlineLevel="0" collapsed="false"/>
    <row r="63389" customFormat="false" ht="12.75" hidden="false" customHeight="true" outlineLevel="0" collapsed="false"/>
    <row r="63390" customFormat="false" ht="12.75" hidden="false" customHeight="true" outlineLevel="0" collapsed="false"/>
    <row r="63391" customFormat="false" ht="12.75" hidden="false" customHeight="true" outlineLevel="0" collapsed="false"/>
    <row r="63392" customFormat="false" ht="12.75" hidden="false" customHeight="true" outlineLevel="0" collapsed="false"/>
    <row r="63393" customFormat="false" ht="12.75" hidden="false" customHeight="true" outlineLevel="0" collapsed="false"/>
    <row r="63394" customFormat="false" ht="12.75" hidden="false" customHeight="true" outlineLevel="0" collapsed="false"/>
    <row r="63395" customFormat="false" ht="12.75" hidden="false" customHeight="true" outlineLevel="0" collapsed="false"/>
    <row r="63396" customFormat="false" ht="12.75" hidden="false" customHeight="true" outlineLevel="0" collapsed="false"/>
    <row r="63397" customFormat="false" ht="12.75" hidden="false" customHeight="true" outlineLevel="0" collapsed="false"/>
    <row r="63398" customFormat="false" ht="12.75" hidden="false" customHeight="true" outlineLevel="0" collapsed="false"/>
    <row r="63399" customFormat="false" ht="12.75" hidden="false" customHeight="true" outlineLevel="0" collapsed="false"/>
    <row r="63400" customFormat="false" ht="12.75" hidden="false" customHeight="true" outlineLevel="0" collapsed="false"/>
    <row r="63401" customFormat="false" ht="12.75" hidden="false" customHeight="true" outlineLevel="0" collapsed="false"/>
    <row r="63402" customFormat="false" ht="12.75" hidden="false" customHeight="true" outlineLevel="0" collapsed="false"/>
    <row r="63403" customFormat="false" ht="12.75" hidden="false" customHeight="true" outlineLevel="0" collapsed="false"/>
    <row r="63404" customFormat="false" ht="12.75" hidden="false" customHeight="true" outlineLevel="0" collapsed="false"/>
    <row r="63405" customFormat="false" ht="12.75" hidden="false" customHeight="true" outlineLevel="0" collapsed="false"/>
    <row r="63406" customFormat="false" ht="12.75" hidden="false" customHeight="true" outlineLevel="0" collapsed="false"/>
    <row r="63407" customFormat="false" ht="12.75" hidden="false" customHeight="true" outlineLevel="0" collapsed="false"/>
    <row r="63408" customFormat="false" ht="12.75" hidden="false" customHeight="true" outlineLevel="0" collapsed="false"/>
    <row r="63409" customFormat="false" ht="12.75" hidden="false" customHeight="true" outlineLevel="0" collapsed="false"/>
    <row r="63410" customFormat="false" ht="12.75" hidden="false" customHeight="true" outlineLevel="0" collapsed="false"/>
    <row r="63411" customFormat="false" ht="12.75" hidden="false" customHeight="true" outlineLevel="0" collapsed="false"/>
    <row r="63412" customFormat="false" ht="12.75" hidden="false" customHeight="true" outlineLevel="0" collapsed="false"/>
    <row r="63413" customFormat="false" ht="12.75" hidden="false" customHeight="true" outlineLevel="0" collapsed="false"/>
    <row r="63414" customFormat="false" ht="12.75" hidden="false" customHeight="true" outlineLevel="0" collapsed="false"/>
    <row r="63415" customFormat="false" ht="12.75" hidden="false" customHeight="true" outlineLevel="0" collapsed="false"/>
    <row r="63416" customFormat="false" ht="12.75" hidden="false" customHeight="true" outlineLevel="0" collapsed="false"/>
    <row r="63417" customFormat="false" ht="12.75" hidden="false" customHeight="true" outlineLevel="0" collapsed="false"/>
    <row r="63418" customFormat="false" ht="12.75" hidden="false" customHeight="true" outlineLevel="0" collapsed="false"/>
    <row r="63419" customFormat="false" ht="12.75" hidden="false" customHeight="true" outlineLevel="0" collapsed="false"/>
    <row r="63420" customFormat="false" ht="12.75" hidden="false" customHeight="true" outlineLevel="0" collapsed="false"/>
    <row r="63421" customFormat="false" ht="12.75" hidden="false" customHeight="true" outlineLevel="0" collapsed="false"/>
    <row r="63422" customFormat="false" ht="12.75" hidden="false" customHeight="true" outlineLevel="0" collapsed="false"/>
    <row r="63423" customFormat="false" ht="12.75" hidden="false" customHeight="true" outlineLevel="0" collapsed="false"/>
    <row r="63424" customFormat="false" ht="12.75" hidden="false" customHeight="true" outlineLevel="0" collapsed="false"/>
    <row r="63425" customFormat="false" ht="12.75" hidden="false" customHeight="true" outlineLevel="0" collapsed="false"/>
    <row r="63426" customFormat="false" ht="12.75" hidden="false" customHeight="true" outlineLevel="0" collapsed="false"/>
    <row r="63427" customFormat="false" ht="12.75" hidden="false" customHeight="true" outlineLevel="0" collapsed="false"/>
    <row r="63428" customFormat="false" ht="12.75" hidden="false" customHeight="true" outlineLevel="0" collapsed="false"/>
    <row r="63429" customFormat="false" ht="12.75" hidden="false" customHeight="true" outlineLevel="0" collapsed="false"/>
    <row r="63430" customFormat="false" ht="12.75" hidden="false" customHeight="true" outlineLevel="0" collapsed="false"/>
    <row r="63431" customFormat="false" ht="12.75" hidden="false" customHeight="true" outlineLevel="0" collapsed="false"/>
    <row r="63432" customFormat="false" ht="12.75" hidden="false" customHeight="true" outlineLevel="0" collapsed="false"/>
    <row r="63433" customFormat="false" ht="12.75" hidden="false" customHeight="true" outlineLevel="0" collapsed="false"/>
    <row r="63434" customFormat="false" ht="12.75" hidden="false" customHeight="true" outlineLevel="0" collapsed="false"/>
    <row r="63435" customFormat="false" ht="12.75" hidden="false" customHeight="true" outlineLevel="0" collapsed="false"/>
    <row r="63436" customFormat="false" ht="12.75" hidden="false" customHeight="true" outlineLevel="0" collapsed="false"/>
    <row r="63437" customFormat="false" ht="12.75" hidden="false" customHeight="true" outlineLevel="0" collapsed="false"/>
    <row r="63438" customFormat="false" ht="12.75" hidden="false" customHeight="true" outlineLevel="0" collapsed="false"/>
    <row r="63439" customFormat="false" ht="12.75" hidden="false" customHeight="true" outlineLevel="0" collapsed="false"/>
    <row r="63440" customFormat="false" ht="12.75" hidden="false" customHeight="true" outlineLevel="0" collapsed="false"/>
    <row r="63441" customFormat="false" ht="12.75" hidden="false" customHeight="true" outlineLevel="0" collapsed="false"/>
    <row r="63442" customFormat="false" ht="12.75" hidden="false" customHeight="true" outlineLevel="0" collapsed="false"/>
    <row r="63443" customFormat="false" ht="12.75" hidden="false" customHeight="true" outlineLevel="0" collapsed="false"/>
    <row r="63444" customFormat="false" ht="12.75" hidden="false" customHeight="true" outlineLevel="0" collapsed="false"/>
    <row r="63445" customFormat="false" ht="12.75" hidden="false" customHeight="true" outlineLevel="0" collapsed="false"/>
    <row r="63446" customFormat="false" ht="12.75" hidden="false" customHeight="true" outlineLevel="0" collapsed="false"/>
    <row r="63447" customFormat="false" ht="12.75" hidden="false" customHeight="true" outlineLevel="0" collapsed="false"/>
    <row r="63448" customFormat="false" ht="12.75" hidden="false" customHeight="true" outlineLevel="0" collapsed="false"/>
    <row r="63449" customFormat="false" ht="12.75" hidden="false" customHeight="true" outlineLevel="0" collapsed="false"/>
    <row r="63450" customFormat="false" ht="12.75" hidden="false" customHeight="true" outlineLevel="0" collapsed="false"/>
    <row r="63451" customFormat="false" ht="12.75" hidden="false" customHeight="true" outlineLevel="0" collapsed="false"/>
    <row r="63452" customFormat="false" ht="12.75" hidden="false" customHeight="true" outlineLevel="0" collapsed="false"/>
    <row r="63453" customFormat="false" ht="12.75" hidden="false" customHeight="true" outlineLevel="0" collapsed="false"/>
    <row r="63454" customFormat="false" ht="12.75" hidden="false" customHeight="true" outlineLevel="0" collapsed="false"/>
    <row r="63455" customFormat="false" ht="12.75" hidden="false" customHeight="true" outlineLevel="0" collapsed="false"/>
    <row r="63456" customFormat="false" ht="12.75" hidden="false" customHeight="true" outlineLevel="0" collapsed="false"/>
    <row r="63457" customFormat="false" ht="12.75" hidden="false" customHeight="true" outlineLevel="0" collapsed="false"/>
    <row r="63458" customFormat="false" ht="12.75" hidden="false" customHeight="true" outlineLevel="0" collapsed="false"/>
    <row r="63459" customFormat="false" ht="12.75" hidden="false" customHeight="true" outlineLevel="0" collapsed="false"/>
    <row r="63460" customFormat="false" ht="12.75" hidden="false" customHeight="true" outlineLevel="0" collapsed="false"/>
    <row r="63461" customFormat="false" ht="12.75" hidden="false" customHeight="true" outlineLevel="0" collapsed="false"/>
    <row r="63462" customFormat="false" ht="12.75" hidden="false" customHeight="true" outlineLevel="0" collapsed="false"/>
    <row r="63463" customFormat="false" ht="12.75" hidden="false" customHeight="true" outlineLevel="0" collapsed="false"/>
    <row r="63464" customFormat="false" ht="12.75" hidden="false" customHeight="true" outlineLevel="0" collapsed="false"/>
    <row r="63465" customFormat="false" ht="12.75" hidden="false" customHeight="true" outlineLevel="0" collapsed="false"/>
    <row r="63466" customFormat="false" ht="12.75" hidden="false" customHeight="true" outlineLevel="0" collapsed="false"/>
    <row r="63467" customFormat="false" ht="12.75" hidden="false" customHeight="true" outlineLevel="0" collapsed="false"/>
    <row r="63468" customFormat="false" ht="12.75" hidden="false" customHeight="true" outlineLevel="0" collapsed="false"/>
    <row r="63469" customFormat="false" ht="12.75" hidden="false" customHeight="true" outlineLevel="0" collapsed="false"/>
    <row r="63470" customFormat="false" ht="12.75" hidden="false" customHeight="true" outlineLevel="0" collapsed="false"/>
    <row r="63471" customFormat="false" ht="12.75" hidden="false" customHeight="true" outlineLevel="0" collapsed="false"/>
    <row r="63472" customFormat="false" ht="12.75" hidden="false" customHeight="true" outlineLevel="0" collapsed="false"/>
    <row r="63473" customFormat="false" ht="12.75" hidden="false" customHeight="true" outlineLevel="0" collapsed="false"/>
    <row r="63474" customFormat="false" ht="12.75" hidden="false" customHeight="true" outlineLevel="0" collapsed="false"/>
    <row r="63475" customFormat="false" ht="12.75" hidden="false" customHeight="true" outlineLevel="0" collapsed="false"/>
    <row r="63476" customFormat="false" ht="12.75" hidden="false" customHeight="true" outlineLevel="0" collapsed="false"/>
    <row r="63477" customFormat="false" ht="12.75" hidden="false" customHeight="true" outlineLevel="0" collapsed="false"/>
    <row r="63478" customFormat="false" ht="12.75" hidden="false" customHeight="true" outlineLevel="0" collapsed="false"/>
    <row r="63479" customFormat="false" ht="12.75" hidden="false" customHeight="true" outlineLevel="0" collapsed="false"/>
    <row r="63480" customFormat="false" ht="12.75" hidden="false" customHeight="true" outlineLevel="0" collapsed="false"/>
    <row r="63481" customFormat="false" ht="12.75" hidden="false" customHeight="true" outlineLevel="0" collapsed="false"/>
    <row r="63482" customFormat="false" ht="12.75" hidden="false" customHeight="true" outlineLevel="0" collapsed="false"/>
    <row r="63483" customFormat="false" ht="12.75" hidden="false" customHeight="true" outlineLevel="0" collapsed="false"/>
    <row r="63484" customFormat="false" ht="12.75" hidden="false" customHeight="true" outlineLevel="0" collapsed="false"/>
    <row r="63485" customFormat="false" ht="12.75" hidden="false" customHeight="true" outlineLevel="0" collapsed="false"/>
    <row r="63486" customFormat="false" ht="12.75" hidden="false" customHeight="true" outlineLevel="0" collapsed="false"/>
    <row r="63487" customFormat="false" ht="12.75" hidden="false" customHeight="true" outlineLevel="0" collapsed="false"/>
    <row r="63488" customFormat="false" ht="12.75" hidden="false" customHeight="true" outlineLevel="0" collapsed="false"/>
    <row r="63489" customFormat="false" ht="12.75" hidden="false" customHeight="true" outlineLevel="0" collapsed="false"/>
    <row r="63490" customFormat="false" ht="12.75" hidden="false" customHeight="true" outlineLevel="0" collapsed="false"/>
    <row r="63491" customFormat="false" ht="12.75" hidden="false" customHeight="true" outlineLevel="0" collapsed="false"/>
    <row r="63492" customFormat="false" ht="12.75" hidden="false" customHeight="true" outlineLevel="0" collapsed="false"/>
    <row r="63493" customFormat="false" ht="12.75" hidden="false" customHeight="true" outlineLevel="0" collapsed="false"/>
    <row r="63494" customFormat="false" ht="12.75" hidden="false" customHeight="true" outlineLevel="0" collapsed="false"/>
    <row r="63495" customFormat="false" ht="12.75" hidden="false" customHeight="true" outlineLevel="0" collapsed="false"/>
    <row r="63496" customFormat="false" ht="12.75" hidden="false" customHeight="true" outlineLevel="0" collapsed="false"/>
    <row r="63497" customFormat="false" ht="12.75" hidden="false" customHeight="true" outlineLevel="0" collapsed="false"/>
    <row r="63498" customFormat="false" ht="12.75" hidden="false" customHeight="true" outlineLevel="0" collapsed="false"/>
    <row r="63499" customFormat="false" ht="12.75" hidden="false" customHeight="true" outlineLevel="0" collapsed="false"/>
    <row r="63500" customFormat="false" ht="12.75" hidden="false" customHeight="true" outlineLevel="0" collapsed="false"/>
    <row r="63501" customFormat="false" ht="12.75" hidden="false" customHeight="true" outlineLevel="0" collapsed="false"/>
    <row r="63502" customFormat="false" ht="12.75" hidden="false" customHeight="true" outlineLevel="0" collapsed="false"/>
    <row r="63503" customFormat="false" ht="12.75" hidden="false" customHeight="true" outlineLevel="0" collapsed="false"/>
    <row r="63504" customFormat="false" ht="12.75" hidden="false" customHeight="true" outlineLevel="0" collapsed="false"/>
    <row r="63505" customFormat="false" ht="12.75" hidden="false" customHeight="true" outlineLevel="0" collapsed="false"/>
    <row r="63506" customFormat="false" ht="12.75" hidden="false" customHeight="true" outlineLevel="0" collapsed="false"/>
    <row r="63507" customFormat="false" ht="12.75" hidden="false" customHeight="true" outlineLevel="0" collapsed="false"/>
    <row r="63508" customFormat="false" ht="12.75" hidden="false" customHeight="true" outlineLevel="0" collapsed="false"/>
    <row r="63509" customFormat="false" ht="12.75" hidden="false" customHeight="true" outlineLevel="0" collapsed="false"/>
    <row r="63510" customFormat="false" ht="12.75" hidden="false" customHeight="true" outlineLevel="0" collapsed="false"/>
    <row r="63511" customFormat="false" ht="12.75" hidden="false" customHeight="true" outlineLevel="0" collapsed="false"/>
    <row r="63512" customFormat="false" ht="12.75" hidden="false" customHeight="true" outlineLevel="0" collapsed="false"/>
    <row r="63513" customFormat="false" ht="12.75" hidden="false" customHeight="true" outlineLevel="0" collapsed="false"/>
    <row r="63514" customFormat="false" ht="12.75" hidden="false" customHeight="true" outlineLevel="0" collapsed="false"/>
    <row r="63515" customFormat="false" ht="12.75" hidden="false" customHeight="true" outlineLevel="0" collapsed="false"/>
    <row r="63516" customFormat="false" ht="12.75" hidden="false" customHeight="true" outlineLevel="0" collapsed="false"/>
    <row r="63517" customFormat="false" ht="12.75" hidden="false" customHeight="true" outlineLevel="0" collapsed="false"/>
    <row r="63518" customFormat="false" ht="12.75" hidden="false" customHeight="true" outlineLevel="0" collapsed="false"/>
    <row r="63519" customFormat="false" ht="12.75" hidden="false" customHeight="true" outlineLevel="0" collapsed="false"/>
    <row r="63520" customFormat="false" ht="12.75" hidden="false" customHeight="true" outlineLevel="0" collapsed="false"/>
    <row r="63521" customFormat="false" ht="12.75" hidden="false" customHeight="true" outlineLevel="0" collapsed="false"/>
    <row r="63522" customFormat="false" ht="12.75" hidden="false" customHeight="true" outlineLevel="0" collapsed="false"/>
    <row r="63523" customFormat="false" ht="12.75" hidden="false" customHeight="true" outlineLevel="0" collapsed="false"/>
    <row r="63524" customFormat="false" ht="12.75" hidden="false" customHeight="true" outlineLevel="0" collapsed="false"/>
    <row r="63525" customFormat="false" ht="12.75" hidden="false" customHeight="true" outlineLevel="0" collapsed="false"/>
    <row r="63526" customFormat="false" ht="12.75" hidden="false" customHeight="true" outlineLevel="0" collapsed="false"/>
    <row r="63527" customFormat="false" ht="12.75" hidden="false" customHeight="true" outlineLevel="0" collapsed="false"/>
    <row r="63528" customFormat="false" ht="12.75" hidden="false" customHeight="true" outlineLevel="0" collapsed="false"/>
    <row r="63529" customFormat="false" ht="12.75" hidden="false" customHeight="true" outlineLevel="0" collapsed="false"/>
    <row r="63530" customFormat="false" ht="12.75" hidden="false" customHeight="true" outlineLevel="0" collapsed="false"/>
    <row r="63531" customFormat="false" ht="12.75" hidden="false" customHeight="true" outlineLevel="0" collapsed="false"/>
    <row r="63532" customFormat="false" ht="12.75" hidden="false" customHeight="true" outlineLevel="0" collapsed="false"/>
    <row r="63533" customFormat="false" ht="12.75" hidden="false" customHeight="true" outlineLevel="0" collapsed="false"/>
    <row r="63534" customFormat="false" ht="12.75" hidden="false" customHeight="true" outlineLevel="0" collapsed="false"/>
    <row r="63535" customFormat="false" ht="12.75" hidden="false" customHeight="true" outlineLevel="0" collapsed="false"/>
    <row r="63536" customFormat="false" ht="12.75" hidden="false" customHeight="true" outlineLevel="0" collapsed="false"/>
    <row r="63537" customFormat="false" ht="12.75" hidden="false" customHeight="true" outlineLevel="0" collapsed="false"/>
    <row r="63538" customFormat="false" ht="12.75" hidden="false" customHeight="true" outlineLevel="0" collapsed="false"/>
    <row r="63539" customFormat="false" ht="12.75" hidden="false" customHeight="true" outlineLevel="0" collapsed="false"/>
    <row r="63540" customFormat="false" ht="12.75" hidden="false" customHeight="true" outlineLevel="0" collapsed="false"/>
    <row r="63541" customFormat="false" ht="12.75" hidden="false" customHeight="true" outlineLevel="0" collapsed="false"/>
    <row r="63542" customFormat="false" ht="12.75" hidden="false" customHeight="true" outlineLevel="0" collapsed="false"/>
    <row r="63543" customFormat="false" ht="12.75" hidden="false" customHeight="true" outlineLevel="0" collapsed="false"/>
    <row r="63544" customFormat="false" ht="12.75" hidden="false" customHeight="true" outlineLevel="0" collapsed="false"/>
    <row r="63545" customFormat="false" ht="12.75" hidden="false" customHeight="true" outlineLevel="0" collapsed="false"/>
    <row r="63546" customFormat="false" ht="12.75" hidden="false" customHeight="true" outlineLevel="0" collapsed="false"/>
    <row r="63547" customFormat="false" ht="12.75" hidden="false" customHeight="true" outlineLevel="0" collapsed="false"/>
    <row r="63548" customFormat="false" ht="12.75" hidden="false" customHeight="true" outlineLevel="0" collapsed="false"/>
    <row r="63549" customFormat="false" ht="12.75" hidden="false" customHeight="true" outlineLevel="0" collapsed="false"/>
    <row r="63550" customFormat="false" ht="12.75" hidden="false" customHeight="true" outlineLevel="0" collapsed="false"/>
    <row r="63551" customFormat="false" ht="12.75" hidden="false" customHeight="true" outlineLevel="0" collapsed="false"/>
    <row r="63552" customFormat="false" ht="12.75" hidden="false" customHeight="true" outlineLevel="0" collapsed="false"/>
    <row r="63553" customFormat="false" ht="12.75" hidden="false" customHeight="true" outlineLevel="0" collapsed="false"/>
    <row r="63554" customFormat="false" ht="12.75" hidden="false" customHeight="true" outlineLevel="0" collapsed="false"/>
    <row r="63555" customFormat="false" ht="12.75" hidden="false" customHeight="true" outlineLevel="0" collapsed="false"/>
    <row r="63556" customFormat="false" ht="12.75" hidden="false" customHeight="true" outlineLevel="0" collapsed="false"/>
    <row r="63557" customFormat="false" ht="12.75" hidden="false" customHeight="true" outlineLevel="0" collapsed="false"/>
    <row r="63558" customFormat="false" ht="12.75" hidden="false" customHeight="true" outlineLevel="0" collapsed="false"/>
    <row r="63559" customFormat="false" ht="12.75" hidden="false" customHeight="true" outlineLevel="0" collapsed="false"/>
    <row r="63560" customFormat="false" ht="12.75" hidden="false" customHeight="true" outlineLevel="0" collapsed="false"/>
    <row r="63561" customFormat="false" ht="12.75" hidden="false" customHeight="true" outlineLevel="0" collapsed="false"/>
    <row r="63562" customFormat="false" ht="12.75" hidden="false" customHeight="true" outlineLevel="0" collapsed="false"/>
    <row r="63563" customFormat="false" ht="12.75" hidden="false" customHeight="true" outlineLevel="0" collapsed="false"/>
    <row r="63564" customFormat="false" ht="12.75" hidden="false" customHeight="true" outlineLevel="0" collapsed="false"/>
    <row r="63565" customFormat="false" ht="12.75" hidden="false" customHeight="true" outlineLevel="0" collapsed="false"/>
    <row r="63566" customFormat="false" ht="12.75" hidden="false" customHeight="true" outlineLevel="0" collapsed="false"/>
    <row r="63567" customFormat="false" ht="12.75" hidden="false" customHeight="true" outlineLevel="0" collapsed="false"/>
    <row r="63568" customFormat="false" ht="12.75" hidden="false" customHeight="true" outlineLevel="0" collapsed="false"/>
    <row r="63569" customFormat="false" ht="12.75" hidden="false" customHeight="true" outlineLevel="0" collapsed="false"/>
    <row r="63570" customFormat="false" ht="12.75" hidden="false" customHeight="true" outlineLevel="0" collapsed="false"/>
    <row r="63571" customFormat="false" ht="12.75" hidden="false" customHeight="true" outlineLevel="0" collapsed="false"/>
    <row r="63572" customFormat="false" ht="12.75" hidden="false" customHeight="true" outlineLevel="0" collapsed="false"/>
    <row r="63573" customFormat="false" ht="12.75" hidden="false" customHeight="true" outlineLevel="0" collapsed="false"/>
    <row r="63574" customFormat="false" ht="12.75" hidden="false" customHeight="true" outlineLevel="0" collapsed="false"/>
    <row r="63575" customFormat="false" ht="12.75" hidden="false" customHeight="true" outlineLevel="0" collapsed="false"/>
    <row r="63576" customFormat="false" ht="12.75" hidden="false" customHeight="true" outlineLevel="0" collapsed="false"/>
    <row r="63577" customFormat="false" ht="12.75" hidden="false" customHeight="true" outlineLevel="0" collapsed="false"/>
    <row r="63578" customFormat="false" ht="12.75" hidden="false" customHeight="true" outlineLevel="0" collapsed="false"/>
    <row r="63579" customFormat="false" ht="12.75" hidden="false" customHeight="true" outlineLevel="0" collapsed="false"/>
    <row r="63580" customFormat="false" ht="12.75" hidden="false" customHeight="true" outlineLevel="0" collapsed="false"/>
    <row r="63581" customFormat="false" ht="12.75" hidden="false" customHeight="true" outlineLevel="0" collapsed="false"/>
    <row r="63582" customFormat="false" ht="12.75" hidden="false" customHeight="true" outlineLevel="0" collapsed="false"/>
    <row r="63583" customFormat="false" ht="12.75" hidden="false" customHeight="true" outlineLevel="0" collapsed="false"/>
    <row r="63584" customFormat="false" ht="12.75" hidden="false" customHeight="true" outlineLevel="0" collapsed="false"/>
    <row r="63585" customFormat="false" ht="12.75" hidden="false" customHeight="true" outlineLevel="0" collapsed="false"/>
    <row r="63586" customFormat="false" ht="12.75" hidden="false" customHeight="true" outlineLevel="0" collapsed="false"/>
    <row r="63587" customFormat="false" ht="12.75" hidden="false" customHeight="true" outlineLevel="0" collapsed="false"/>
    <row r="63588" customFormat="false" ht="12.75" hidden="false" customHeight="true" outlineLevel="0" collapsed="false"/>
    <row r="63589" customFormat="false" ht="12.75" hidden="false" customHeight="true" outlineLevel="0" collapsed="false"/>
    <row r="63590" customFormat="false" ht="12.75" hidden="false" customHeight="true" outlineLevel="0" collapsed="false"/>
    <row r="63591" customFormat="false" ht="12.75" hidden="false" customHeight="true" outlineLevel="0" collapsed="false"/>
    <row r="63592" customFormat="false" ht="12.75" hidden="false" customHeight="true" outlineLevel="0" collapsed="false"/>
    <row r="63593" customFormat="false" ht="12.75" hidden="false" customHeight="true" outlineLevel="0" collapsed="false"/>
    <row r="63594" customFormat="false" ht="12.75" hidden="false" customHeight="true" outlineLevel="0" collapsed="false"/>
    <row r="63595" customFormat="false" ht="12.75" hidden="false" customHeight="true" outlineLevel="0" collapsed="false"/>
    <row r="63596" customFormat="false" ht="12.75" hidden="false" customHeight="true" outlineLevel="0" collapsed="false"/>
    <row r="63597" customFormat="false" ht="12.75" hidden="false" customHeight="true" outlineLevel="0" collapsed="false"/>
    <row r="63598" customFormat="false" ht="12.75" hidden="false" customHeight="true" outlineLevel="0" collapsed="false"/>
    <row r="63599" customFormat="false" ht="12.75" hidden="false" customHeight="true" outlineLevel="0" collapsed="false"/>
    <row r="63600" customFormat="false" ht="12.75" hidden="false" customHeight="true" outlineLevel="0" collapsed="false"/>
    <row r="63601" customFormat="false" ht="12.75" hidden="false" customHeight="true" outlineLevel="0" collapsed="false"/>
    <row r="63602" customFormat="false" ht="12.75" hidden="false" customHeight="true" outlineLevel="0" collapsed="false"/>
    <row r="63603" customFormat="false" ht="12.75" hidden="false" customHeight="true" outlineLevel="0" collapsed="false"/>
    <row r="63604" customFormat="false" ht="12.75" hidden="false" customHeight="true" outlineLevel="0" collapsed="false"/>
    <row r="63605" customFormat="false" ht="12.75" hidden="false" customHeight="true" outlineLevel="0" collapsed="false"/>
    <row r="63606" customFormat="false" ht="12.75" hidden="false" customHeight="true" outlineLevel="0" collapsed="false"/>
    <row r="63607" customFormat="false" ht="12.75" hidden="false" customHeight="true" outlineLevel="0" collapsed="false"/>
    <row r="63608" customFormat="false" ht="12.75" hidden="false" customHeight="true" outlineLevel="0" collapsed="false"/>
    <row r="63609" customFormat="false" ht="12.75" hidden="false" customHeight="true" outlineLevel="0" collapsed="false"/>
    <row r="63610" customFormat="false" ht="12.75" hidden="false" customHeight="true" outlineLevel="0" collapsed="false"/>
    <row r="63611" customFormat="false" ht="12.75" hidden="false" customHeight="true" outlineLevel="0" collapsed="false"/>
    <row r="63612" customFormat="false" ht="12.75" hidden="false" customHeight="true" outlineLevel="0" collapsed="false"/>
    <row r="63613" customFormat="false" ht="12.75" hidden="false" customHeight="true" outlineLevel="0" collapsed="false"/>
    <row r="63614" customFormat="false" ht="12.75" hidden="false" customHeight="true" outlineLevel="0" collapsed="false"/>
    <row r="63615" customFormat="false" ht="12.75" hidden="false" customHeight="true" outlineLevel="0" collapsed="false"/>
    <row r="63616" customFormat="false" ht="12.75" hidden="false" customHeight="true" outlineLevel="0" collapsed="false"/>
    <row r="63617" customFormat="false" ht="12.75" hidden="false" customHeight="true" outlineLevel="0" collapsed="false"/>
    <row r="63618" customFormat="false" ht="12.75" hidden="false" customHeight="true" outlineLevel="0" collapsed="false"/>
    <row r="63619" customFormat="false" ht="12.75" hidden="false" customHeight="true" outlineLevel="0" collapsed="false"/>
    <row r="63620" customFormat="false" ht="12.75" hidden="false" customHeight="true" outlineLevel="0" collapsed="false"/>
    <row r="63621" customFormat="false" ht="12.75" hidden="false" customHeight="true" outlineLevel="0" collapsed="false"/>
    <row r="63622" customFormat="false" ht="12.75" hidden="false" customHeight="true" outlineLevel="0" collapsed="false"/>
    <row r="63623" customFormat="false" ht="12.75" hidden="false" customHeight="true" outlineLevel="0" collapsed="false"/>
    <row r="63624" customFormat="false" ht="12.75" hidden="false" customHeight="true" outlineLevel="0" collapsed="false"/>
    <row r="63625" customFormat="false" ht="12.75" hidden="false" customHeight="true" outlineLevel="0" collapsed="false"/>
    <row r="63626" customFormat="false" ht="12.75" hidden="false" customHeight="true" outlineLevel="0" collapsed="false"/>
    <row r="63627" customFormat="false" ht="12.75" hidden="false" customHeight="true" outlineLevel="0" collapsed="false"/>
    <row r="63628" customFormat="false" ht="12.75" hidden="false" customHeight="true" outlineLevel="0" collapsed="false"/>
    <row r="63629" customFormat="false" ht="12.75" hidden="false" customHeight="true" outlineLevel="0" collapsed="false"/>
    <row r="63630" customFormat="false" ht="12.75" hidden="false" customHeight="true" outlineLevel="0" collapsed="false"/>
    <row r="63631" customFormat="false" ht="12.75" hidden="false" customHeight="true" outlineLevel="0" collapsed="false"/>
    <row r="63632" customFormat="false" ht="12.75" hidden="false" customHeight="true" outlineLevel="0" collapsed="false"/>
    <row r="63633" customFormat="false" ht="12.75" hidden="false" customHeight="true" outlineLevel="0" collapsed="false"/>
    <row r="63634" customFormat="false" ht="12.75" hidden="false" customHeight="true" outlineLevel="0" collapsed="false"/>
    <row r="63635" customFormat="false" ht="12.75" hidden="false" customHeight="true" outlineLevel="0" collapsed="false"/>
    <row r="63636" customFormat="false" ht="12.75" hidden="false" customHeight="true" outlineLevel="0" collapsed="false"/>
    <row r="63637" customFormat="false" ht="12.75" hidden="false" customHeight="true" outlineLevel="0" collapsed="false"/>
    <row r="63638" customFormat="false" ht="12.75" hidden="false" customHeight="true" outlineLevel="0" collapsed="false"/>
    <row r="63639" customFormat="false" ht="12.75" hidden="false" customHeight="true" outlineLevel="0" collapsed="false"/>
    <row r="63640" customFormat="false" ht="12.75" hidden="false" customHeight="true" outlineLevel="0" collapsed="false"/>
    <row r="63641" customFormat="false" ht="12.75" hidden="false" customHeight="true" outlineLevel="0" collapsed="false"/>
    <row r="63642" customFormat="false" ht="12.75" hidden="false" customHeight="true" outlineLevel="0" collapsed="false"/>
    <row r="63643" customFormat="false" ht="12.75" hidden="false" customHeight="true" outlineLevel="0" collapsed="false"/>
    <row r="63644" customFormat="false" ht="12.75" hidden="false" customHeight="true" outlineLevel="0" collapsed="false"/>
    <row r="63645" customFormat="false" ht="12.75" hidden="false" customHeight="true" outlineLevel="0" collapsed="false"/>
    <row r="63646" customFormat="false" ht="12.75" hidden="false" customHeight="true" outlineLevel="0" collapsed="false"/>
    <row r="63647" customFormat="false" ht="12.75" hidden="false" customHeight="true" outlineLevel="0" collapsed="false"/>
    <row r="63648" customFormat="false" ht="12.75" hidden="false" customHeight="true" outlineLevel="0" collapsed="false"/>
    <row r="63649" customFormat="false" ht="12.75" hidden="false" customHeight="true" outlineLevel="0" collapsed="false"/>
    <row r="63650" customFormat="false" ht="12.75" hidden="false" customHeight="true" outlineLevel="0" collapsed="false"/>
    <row r="63651" customFormat="false" ht="12.75" hidden="false" customHeight="true" outlineLevel="0" collapsed="false"/>
    <row r="63652" customFormat="false" ht="12.75" hidden="false" customHeight="true" outlineLevel="0" collapsed="false"/>
    <row r="63653" customFormat="false" ht="12.75" hidden="false" customHeight="true" outlineLevel="0" collapsed="false"/>
    <row r="63654" customFormat="false" ht="12.75" hidden="false" customHeight="true" outlineLevel="0" collapsed="false"/>
    <row r="63655" customFormat="false" ht="12.75" hidden="false" customHeight="true" outlineLevel="0" collapsed="false"/>
    <row r="63656" customFormat="false" ht="12.75" hidden="false" customHeight="true" outlineLevel="0" collapsed="false"/>
    <row r="63657" customFormat="false" ht="12.75" hidden="false" customHeight="true" outlineLevel="0" collapsed="false"/>
    <row r="63658" customFormat="false" ht="12.75" hidden="false" customHeight="true" outlineLevel="0" collapsed="false"/>
    <row r="63659" customFormat="false" ht="12.75" hidden="false" customHeight="true" outlineLevel="0" collapsed="false"/>
    <row r="63660" customFormat="false" ht="12.75" hidden="false" customHeight="true" outlineLevel="0" collapsed="false"/>
    <row r="63661" customFormat="false" ht="12.75" hidden="false" customHeight="true" outlineLevel="0" collapsed="false"/>
    <row r="63662" customFormat="false" ht="12.75" hidden="false" customHeight="true" outlineLevel="0" collapsed="false"/>
    <row r="63663" customFormat="false" ht="12.75" hidden="false" customHeight="true" outlineLevel="0" collapsed="false"/>
    <row r="63664" customFormat="false" ht="12.75" hidden="false" customHeight="true" outlineLevel="0" collapsed="false"/>
    <row r="63665" customFormat="false" ht="12.75" hidden="false" customHeight="true" outlineLevel="0" collapsed="false"/>
    <row r="63666" customFormat="false" ht="12.75" hidden="false" customHeight="true" outlineLevel="0" collapsed="false"/>
    <row r="63667" customFormat="false" ht="12.75" hidden="false" customHeight="true" outlineLevel="0" collapsed="false"/>
    <row r="63668" customFormat="false" ht="12.75" hidden="false" customHeight="true" outlineLevel="0" collapsed="false"/>
    <row r="63669" customFormat="false" ht="12.75" hidden="false" customHeight="true" outlineLevel="0" collapsed="false"/>
    <row r="63670" customFormat="false" ht="12.75" hidden="false" customHeight="true" outlineLevel="0" collapsed="false"/>
    <row r="63671" customFormat="false" ht="12.75" hidden="false" customHeight="true" outlineLevel="0" collapsed="false"/>
    <row r="63672" customFormat="false" ht="12.75" hidden="false" customHeight="true" outlineLevel="0" collapsed="false"/>
    <row r="63673" customFormat="false" ht="12.75" hidden="false" customHeight="true" outlineLevel="0" collapsed="false"/>
    <row r="63674" customFormat="false" ht="12.75" hidden="false" customHeight="true" outlineLevel="0" collapsed="false"/>
    <row r="63675" customFormat="false" ht="12.75" hidden="false" customHeight="true" outlineLevel="0" collapsed="false"/>
    <row r="63676" customFormat="false" ht="12.75" hidden="false" customHeight="true" outlineLevel="0" collapsed="false"/>
    <row r="63677" customFormat="false" ht="12.75" hidden="false" customHeight="true" outlineLevel="0" collapsed="false"/>
    <row r="63678" customFormat="false" ht="12.75" hidden="false" customHeight="true" outlineLevel="0" collapsed="false"/>
    <row r="63679" customFormat="false" ht="12.75" hidden="false" customHeight="true" outlineLevel="0" collapsed="false"/>
    <row r="63680" customFormat="false" ht="12.75" hidden="false" customHeight="true" outlineLevel="0" collapsed="false"/>
    <row r="63681" customFormat="false" ht="12.75" hidden="false" customHeight="true" outlineLevel="0" collapsed="false"/>
    <row r="63682" customFormat="false" ht="12.75" hidden="false" customHeight="true" outlineLevel="0" collapsed="false"/>
    <row r="63683" customFormat="false" ht="12.75" hidden="false" customHeight="true" outlineLevel="0" collapsed="false"/>
    <row r="63684" customFormat="false" ht="12.75" hidden="false" customHeight="true" outlineLevel="0" collapsed="false"/>
    <row r="63685" customFormat="false" ht="12.75" hidden="false" customHeight="true" outlineLevel="0" collapsed="false"/>
    <row r="63686" customFormat="false" ht="12.75" hidden="false" customHeight="true" outlineLevel="0" collapsed="false"/>
    <row r="63687" customFormat="false" ht="12.75" hidden="false" customHeight="true" outlineLevel="0" collapsed="false"/>
    <row r="63688" customFormat="false" ht="12.75" hidden="false" customHeight="true" outlineLevel="0" collapsed="false"/>
    <row r="63689" customFormat="false" ht="12.75" hidden="false" customHeight="true" outlineLevel="0" collapsed="false"/>
    <row r="63690" customFormat="false" ht="12.75" hidden="false" customHeight="true" outlineLevel="0" collapsed="false"/>
    <row r="63691" customFormat="false" ht="12.75" hidden="false" customHeight="true" outlineLevel="0" collapsed="false"/>
    <row r="63692" customFormat="false" ht="12.75" hidden="false" customHeight="true" outlineLevel="0" collapsed="false"/>
    <row r="63693" customFormat="false" ht="12.75" hidden="false" customHeight="true" outlineLevel="0" collapsed="false"/>
    <row r="63694" customFormat="false" ht="12.75" hidden="false" customHeight="true" outlineLevel="0" collapsed="false"/>
    <row r="63695" customFormat="false" ht="12.75" hidden="false" customHeight="true" outlineLevel="0" collapsed="false"/>
    <row r="63696" customFormat="false" ht="12.75" hidden="false" customHeight="true" outlineLevel="0" collapsed="false"/>
    <row r="63697" customFormat="false" ht="12.75" hidden="false" customHeight="true" outlineLevel="0" collapsed="false"/>
    <row r="63698" customFormat="false" ht="12.75" hidden="false" customHeight="true" outlineLevel="0" collapsed="false"/>
    <row r="63699" customFormat="false" ht="12.75" hidden="false" customHeight="true" outlineLevel="0" collapsed="false"/>
    <row r="63700" customFormat="false" ht="12.75" hidden="false" customHeight="true" outlineLevel="0" collapsed="false"/>
    <row r="63701" customFormat="false" ht="12.75" hidden="false" customHeight="true" outlineLevel="0" collapsed="false"/>
    <row r="63702" customFormat="false" ht="12.75" hidden="false" customHeight="true" outlineLevel="0" collapsed="false"/>
    <row r="63703" customFormat="false" ht="12.75" hidden="false" customHeight="true" outlineLevel="0" collapsed="false"/>
    <row r="63704" customFormat="false" ht="12.75" hidden="false" customHeight="true" outlineLevel="0" collapsed="false"/>
    <row r="63705" customFormat="false" ht="12.75" hidden="false" customHeight="true" outlineLevel="0" collapsed="false"/>
    <row r="63706" customFormat="false" ht="12.75" hidden="false" customHeight="true" outlineLevel="0" collapsed="false"/>
    <row r="63707" customFormat="false" ht="12.75" hidden="false" customHeight="true" outlineLevel="0" collapsed="false"/>
    <row r="63708" customFormat="false" ht="12.75" hidden="false" customHeight="true" outlineLevel="0" collapsed="false"/>
    <row r="63709" customFormat="false" ht="12.75" hidden="false" customHeight="true" outlineLevel="0" collapsed="false"/>
    <row r="63710" customFormat="false" ht="12.75" hidden="false" customHeight="true" outlineLevel="0" collapsed="false"/>
    <row r="63711" customFormat="false" ht="12.75" hidden="false" customHeight="true" outlineLevel="0" collapsed="false"/>
    <row r="63712" customFormat="false" ht="12.75" hidden="false" customHeight="true" outlineLevel="0" collapsed="false"/>
    <row r="63713" customFormat="false" ht="12.75" hidden="false" customHeight="true" outlineLevel="0" collapsed="false"/>
    <row r="63714" customFormat="false" ht="12.75" hidden="false" customHeight="true" outlineLevel="0" collapsed="false"/>
    <row r="63715" customFormat="false" ht="12.75" hidden="false" customHeight="true" outlineLevel="0" collapsed="false"/>
    <row r="63716" customFormat="false" ht="12.75" hidden="false" customHeight="true" outlineLevel="0" collapsed="false"/>
    <row r="63717" customFormat="false" ht="12.75" hidden="false" customHeight="true" outlineLevel="0" collapsed="false"/>
    <row r="63718" customFormat="false" ht="12.75" hidden="false" customHeight="true" outlineLevel="0" collapsed="false"/>
    <row r="63719" customFormat="false" ht="12.75" hidden="false" customHeight="true" outlineLevel="0" collapsed="false"/>
    <row r="63720" customFormat="false" ht="12.75" hidden="false" customHeight="true" outlineLevel="0" collapsed="false"/>
    <row r="63721" customFormat="false" ht="12.75" hidden="false" customHeight="true" outlineLevel="0" collapsed="false"/>
    <row r="63722" customFormat="false" ht="12.75" hidden="false" customHeight="true" outlineLevel="0" collapsed="false"/>
    <row r="63723" customFormat="false" ht="12.75" hidden="false" customHeight="true" outlineLevel="0" collapsed="false"/>
    <row r="63724" customFormat="false" ht="12.75" hidden="false" customHeight="true" outlineLevel="0" collapsed="false"/>
    <row r="63725" customFormat="false" ht="12.75" hidden="false" customHeight="true" outlineLevel="0" collapsed="false"/>
    <row r="63726" customFormat="false" ht="12.75" hidden="false" customHeight="true" outlineLevel="0" collapsed="false"/>
    <row r="63727" customFormat="false" ht="12.75" hidden="false" customHeight="true" outlineLevel="0" collapsed="false"/>
    <row r="63728" customFormat="false" ht="12.75" hidden="false" customHeight="true" outlineLevel="0" collapsed="false"/>
    <row r="63729" customFormat="false" ht="12.75" hidden="false" customHeight="true" outlineLevel="0" collapsed="false"/>
    <row r="63730" customFormat="false" ht="12.75" hidden="false" customHeight="true" outlineLevel="0" collapsed="false"/>
    <row r="63731" customFormat="false" ht="12.75" hidden="false" customHeight="true" outlineLevel="0" collapsed="false"/>
    <row r="63732" customFormat="false" ht="12.75" hidden="false" customHeight="true" outlineLevel="0" collapsed="false"/>
    <row r="63733" customFormat="false" ht="12.75" hidden="false" customHeight="true" outlineLevel="0" collapsed="false"/>
    <row r="63734" customFormat="false" ht="12.75" hidden="false" customHeight="true" outlineLevel="0" collapsed="false"/>
    <row r="63735" customFormat="false" ht="12.75" hidden="false" customHeight="true" outlineLevel="0" collapsed="false"/>
    <row r="63736" customFormat="false" ht="12.75" hidden="false" customHeight="true" outlineLevel="0" collapsed="false"/>
    <row r="63737" customFormat="false" ht="12.75" hidden="false" customHeight="true" outlineLevel="0" collapsed="false"/>
    <row r="63738" customFormat="false" ht="12.75" hidden="false" customHeight="true" outlineLevel="0" collapsed="false"/>
    <row r="63739" customFormat="false" ht="12.75" hidden="false" customHeight="true" outlineLevel="0" collapsed="false"/>
    <row r="63740" customFormat="false" ht="12.75" hidden="false" customHeight="true" outlineLevel="0" collapsed="false"/>
    <row r="63741" customFormat="false" ht="12.75" hidden="false" customHeight="true" outlineLevel="0" collapsed="false"/>
    <row r="63742" customFormat="false" ht="12.75" hidden="false" customHeight="true" outlineLevel="0" collapsed="false"/>
    <row r="63743" customFormat="false" ht="12.75" hidden="false" customHeight="true" outlineLevel="0" collapsed="false"/>
    <row r="63744" customFormat="false" ht="12.75" hidden="false" customHeight="true" outlineLevel="0" collapsed="false"/>
    <row r="63745" customFormat="false" ht="12.75" hidden="false" customHeight="true" outlineLevel="0" collapsed="false"/>
    <row r="63746" customFormat="false" ht="12.75" hidden="false" customHeight="true" outlineLevel="0" collapsed="false"/>
    <row r="63747" customFormat="false" ht="12.75" hidden="false" customHeight="true" outlineLevel="0" collapsed="false"/>
    <row r="63748" customFormat="false" ht="12.75" hidden="false" customHeight="true" outlineLevel="0" collapsed="false"/>
    <row r="63749" customFormat="false" ht="12.75" hidden="false" customHeight="true" outlineLevel="0" collapsed="false"/>
    <row r="63750" customFormat="false" ht="12.75" hidden="false" customHeight="true" outlineLevel="0" collapsed="false"/>
    <row r="63751" customFormat="false" ht="12.75" hidden="false" customHeight="true" outlineLevel="0" collapsed="false"/>
    <row r="63752" customFormat="false" ht="12.75" hidden="false" customHeight="true" outlineLevel="0" collapsed="false"/>
    <row r="63753" customFormat="false" ht="12.75" hidden="false" customHeight="true" outlineLevel="0" collapsed="false"/>
    <row r="63754" customFormat="false" ht="12.75" hidden="false" customHeight="true" outlineLevel="0" collapsed="false"/>
    <row r="63755" customFormat="false" ht="12.75" hidden="false" customHeight="true" outlineLevel="0" collapsed="false"/>
    <row r="63756" customFormat="false" ht="12.75" hidden="false" customHeight="true" outlineLevel="0" collapsed="false"/>
    <row r="63757" customFormat="false" ht="12.75" hidden="false" customHeight="true" outlineLevel="0" collapsed="false"/>
    <row r="63758" customFormat="false" ht="12.75" hidden="false" customHeight="true" outlineLevel="0" collapsed="false"/>
    <row r="63759" customFormat="false" ht="12.75" hidden="false" customHeight="true" outlineLevel="0" collapsed="false"/>
    <row r="63760" customFormat="false" ht="12.75" hidden="false" customHeight="true" outlineLevel="0" collapsed="false"/>
    <row r="63761" customFormat="false" ht="12.75" hidden="false" customHeight="true" outlineLevel="0" collapsed="false"/>
    <row r="63762" customFormat="false" ht="12.75" hidden="false" customHeight="true" outlineLevel="0" collapsed="false"/>
    <row r="63763" customFormat="false" ht="12.75" hidden="false" customHeight="true" outlineLevel="0" collapsed="false"/>
    <row r="63764" customFormat="false" ht="12.75" hidden="false" customHeight="true" outlineLevel="0" collapsed="false"/>
    <row r="63765" customFormat="false" ht="12.75" hidden="false" customHeight="true" outlineLevel="0" collapsed="false"/>
    <row r="63766" customFormat="false" ht="12.75" hidden="false" customHeight="true" outlineLevel="0" collapsed="false"/>
    <row r="63767" customFormat="false" ht="12.75" hidden="false" customHeight="true" outlineLevel="0" collapsed="false"/>
    <row r="63768" customFormat="false" ht="12.75" hidden="false" customHeight="true" outlineLevel="0" collapsed="false"/>
    <row r="63769" customFormat="false" ht="12.75" hidden="false" customHeight="true" outlineLevel="0" collapsed="false"/>
    <row r="63770" customFormat="false" ht="12.75" hidden="false" customHeight="true" outlineLevel="0" collapsed="false"/>
    <row r="63771" customFormat="false" ht="12.75" hidden="false" customHeight="true" outlineLevel="0" collapsed="false"/>
    <row r="63772" customFormat="false" ht="12.75" hidden="false" customHeight="true" outlineLevel="0" collapsed="false"/>
    <row r="63773" customFormat="false" ht="12.75" hidden="false" customHeight="true" outlineLevel="0" collapsed="false"/>
    <row r="63774" customFormat="false" ht="12.75" hidden="false" customHeight="true" outlineLevel="0" collapsed="false"/>
    <row r="63775" customFormat="false" ht="12.75" hidden="false" customHeight="true" outlineLevel="0" collapsed="false"/>
    <row r="63776" customFormat="false" ht="12.75" hidden="false" customHeight="true" outlineLevel="0" collapsed="false"/>
    <row r="63777" customFormat="false" ht="12.75" hidden="false" customHeight="true" outlineLevel="0" collapsed="false"/>
    <row r="63778" customFormat="false" ht="12.75" hidden="false" customHeight="true" outlineLevel="0" collapsed="false"/>
    <row r="63779" customFormat="false" ht="12.75" hidden="false" customHeight="true" outlineLevel="0" collapsed="false"/>
    <row r="63780" customFormat="false" ht="12.75" hidden="false" customHeight="true" outlineLevel="0" collapsed="false"/>
    <row r="63781" customFormat="false" ht="12.75" hidden="false" customHeight="true" outlineLevel="0" collapsed="false"/>
    <row r="63782" customFormat="false" ht="12.75" hidden="false" customHeight="true" outlineLevel="0" collapsed="false"/>
    <row r="63783" customFormat="false" ht="12.75" hidden="false" customHeight="true" outlineLevel="0" collapsed="false"/>
    <row r="63784" customFormat="false" ht="12.75" hidden="false" customHeight="true" outlineLevel="0" collapsed="false"/>
    <row r="63785" customFormat="false" ht="12.75" hidden="false" customHeight="true" outlineLevel="0" collapsed="false"/>
    <row r="63786" customFormat="false" ht="12.75" hidden="false" customHeight="true" outlineLevel="0" collapsed="false"/>
    <row r="63787" customFormat="false" ht="12.75" hidden="false" customHeight="true" outlineLevel="0" collapsed="false"/>
    <row r="63788" customFormat="false" ht="12.75" hidden="false" customHeight="true" outlineLevel="0" collapsed="false"/>
    <row r="63789" customFormat="false" ht="12.75" hidden="false" customHeight="true" outlineLevel="0" collapsed="false"/>
    <row r="63790" customFormat="false" ht="12.75" hidden="false" customHeight="true" outlineLevel="0" collapsed="false"/>
    <row r="63791" customFormat="false" ht="12.75" hidden="false" customHeight="true" outlineLevel="0" collapsed="false"/>
    <row r="63792" customFormat="false" ht="12.75" hidden="false" customHeight="true" outlineLevel="0" collapsed="false"/>
    <row r="63793" customFormat="false" ht="12.75" hidden="false" customHeight="true" outlineLevel="0" collapsed="false"/>
    <row r="63794" customFormat="false" ht="12.75" hidden="false" customHeight="true" outlineLevel="0" collapsed="false"/>
    <row r="63795" customFormat="false" ht="12.75" hidden="false" customHeight="true" outlineLevel="0" collapsed="false"/>
    <row r="63796" customFormat="false" ht="12.75" hidden="false" customHeight="true" outlineLevel="0" collapsed="false"/>
    <row r="63797" customFormat="false" ht="12.75" hidden="false" customHeight="true" outlineLevel="0" collapsed="false"/>
    <row r="63798" customFormat="false" ht="12.75" hidden="false" customHeight="true" outlineLevel="0" collapsed="false"/>
    <row r="63799" customFormat="false" ht="12.75" hidden="false" customHeight="true" outlineLevel="0" collapsed="false"/>
    <row r="63800" customFormat="false" ht="12.75" hidden="false" customHeight="true" outlineLevel="0" collapsed="false"/>
    <row r="63801" customFormat="false" ht="12.75" hidden="false" customHeight="true" outlineLevel="0" collapsed="false"/>
    <row r="63802" customFormat="false" ht="12.75" hidden="false" customHeight="true" outlineLevel="0" collapsed="false"/>
    <row r="63803" customFormat="false" ht="12.75" hidden="false" customHeight="true" outlineLevel="0" collapsed="false"/>
    <row r="63804" customFormat="false" ht="12.75" hidden="false" customHeight="true" outlineLevel="0" collapsed="false"/>
    <row r="63805" customFormat="false" ht="12.75" hidden="false" customHeight="true" outlineLevel="0" collapsed="false"/>
    <row r="63806" customFormat="false" ht="12.75" hidden="false" customHeight="true" outlineLevel="0" collapsed="false"/>
    <row r="63807" customFormat="false" ht="12.75" hidden="false" customHeight="true" outlineLevel="0" collapsed="false"/>
    <row r="63808" customFormat="false" ht="12.75" hidden="false" customHeight="true" outlineLevel="0" collapsed="false"/>
    <row r="63809" customFormat="false" ht="12.75" hidden="false" customHeight="true" outlineLevel="0" collapsed="false"/>
    <row r="63810" customFormat="false" ht="12.75" hidden="false" customHeight="true" outlineLevel="0" collapsed="false"/>
    <row r="63811" customFormat="false" ht="12.75" hidden="false" customHeight="true" outlineLevel="0" collapsed="false"/>
    <row r="63812" customFormat="false" ht="12.75" hidden="false" customHeight="true" outlineLevel="0" collapsed="false"/>
    <row r="63813" customFormat="false" ht="12.75" hidden="false" customHeight="true" outlineLevel="0" collapsed="false"/>
    <row r="63814" customFormat="false" ht="12.75" hidden="false" customHeight="true" outlineLevel="0" collapsed="false"/>
    <row r="63815" customFormat="false" ht="12.75" hidden="false" customHeight="true" outlineLevel="0" collapsed="false"/>
    <row r="63816" customFormat="false" ht="12.75" hidden="false" customHeight="true" outlineLevel="0" collapsed="false"/>
    <row r="63817" customFormat="false" ht="12.75" hidden="false" customHeight="true" outlineLevel="0" collapsed="false"/>
    <row r="63818" customFormat="false" ht="12.75" hidden="false" customHeight="true" outlineLevel="0" collapsed="false"/>
    <row r="63819" customFormat="false" ht="12.75" hidden="false" customHeight="true" outlineLevel="0" collapsed="false"/>
    <row r="63820" customFormat="false" ht="12.75" hidden="false" customHeight="true" outlineLevel="0" collapsed="false"/>
    <row r="63821" customFormat="false" ht="12.75" hidden="false" customHeight="true" outlineLevel="0" collapsed="false"/>
    <row r="63822" customFormat="false" ht="12.75" hidden="false" customHeight="true" outlineLevel="0" collapsed="false"/>
    <row r="63823" customFormat="false" ht="12.75" hidden="false" customHeight="true" outlineLevel="0" collapsed="false"/>
    <row r="63824" customFormat="false" ht="12.75" hidden="false" customHeight="true" outlineLevel="0" collapsed="false"/>
    <row r="63825" customFormat="false" ht="12.75" hidden="false" customHeight="true" outlineLevel="0" collapsed="false"/>
    <row r="63826" customFormat="false" ht="12.75" hidden="false" customHeight="true" outlineLevel="0" collapsed="false"/>
    <row r="63827" customFormat="false" ht="12.75" hidden="false" customHeight="true" outlineLevel="0" collapsed="false"/>
    <row r="63828" customFormat="false" ht="12.75" hidden="false" customHeight="true" outlineLevel="0" collapsed="false"/>
    <row r="63829" customFormat="false" ht="12.75" hidden="false" customHeight="true" outlineLevel="0" collapsed="false"/>
    <row r="63830" customFormat="false" ht="12.75" hidden="false" customHeight="true" outlineLevel="0" collapsed="false"/>
    <row r="63831" customFormat="false" ht="12.75" hidden="false" customHeight="true" outlineLevel="0" collapsed="false"/>
    <row r="63832" customFormat="false" ht="12.75" hidden="false" customHeight="true" outlineLevel="0" collapsed="false"/>
    <row r="63833" customFormat="false" ht="12.75" hidden="false" customHeight="true" outlineLevel="0" collapsed="false"/>
    <row r="63834" customFormat="false" ht="12.75" hidden="false" customHeight="true" outlineLevel="0" collapsed="false"/>
    <row r="63835" customFormat="false" ht="12.75" hidden="false" customHeight="true" outlineLevel="0" collapsed="false"/>
    <row r="63836" customFormat="false" ht="12.75" hidden="false" customHeight="true" outlineLevel="0" collapsed="false"/>
    <row r="63837" customFormat="false" ht="12.75" hidden="false" customHeight="true" outlineLevel="0" collapsed="false"/>
    <row r="63838" customFormat="false" ht="12.75" hidden="false" customHeight="true" outlineLevel="0" collapsed="false"/>
    <row r="63839" customFormat="false" ht="12.75" hidden="false" customHeight="true" outlineLevel="0" collapsed="false"/>
    <row r="63840" customFormat="false" ht="12.75" hidden="false" customHeight="true" outlineLevel="0" collapsed="false"/>
    <row r="63841" customFormat="false" ht="12.75" hidden="false" customHeight="true" outlineLevel="0" collapsed="false"/>
    <row r="63842" customFormat="false" ht="12.75" hidden="false" customHeight="true" outlineLevel="0" collapsed="false"/>
    <row r="63843" customFormat="false" ht="12.75" hidden="false" customHeight="true" outlineLevel="0" collapsed="false"/>
    <row r="63844" customFormat="false" ht="12.75" hidden="false" customHeight="true" outlineLevel="0" collapsed="false"/>
    <row r="63845" customFormat="false" ht="12.75" hidden="false" customHeight="true" outlineLevel="0" collapsed="false"/>
    <row r="63846" customFormat="false" ht="12.75" hidden="false" customHeight="true" outlineLevel="0" collapsed="false"/>
    <row r="63847" customFormat="false" ht="12.75" hidden="false" customHeight="true" outlineLevel="0" collapsed="false"/>
    <row r="63848" customFormat="false" ht="12.75" hidden="false" customHeight="true" outlineLevel="0" collapsed="false"/>
    <row r="63849" customFormat="false" ht="12.75" hidden="false" customHeight="true" outlineLevel="0" collapsed="false"/>
    <row r="63850" customFormat="false" ht="12.75" hidden="false" customHeight="true" outlineLevel="0" collapsed="false"/>
    <row r="63851" customFormat="false" ht="12.75" hidden="false" customHeight="true" outlineLevel="0" collapsed="false"/>
    <row r="63852" customFormat="false" ht="12.75" hidden="false" customHeight="true" outlineLevel="0" collapsed="false"/>
    <row r="63853" customFormat="false" ht="12.75" hidden="false" customHeight="true" outlineLevel="0" collapsed="false"/>
    <row r="63854" customFormat="false" ht="12.75" hidden="false" customHeight="true" outlineLevel="0" collapsed="false"/>
    <row r="63855" customFormat="false" ht="12.75" hidden="false" customHeight="true" outlineLevel="0" collapsed="false"/>
    <row r="63856" customFormat="false" ht="12.75" hidden="false" customHeight="true" outlineLevel="0" collapsed="false"/>
    <row r="63857" customFormat="false" ht="12.75" hidden="false" customHeight="true" outlineLevel="0" collapsed="false"/>
    <row r="63858" customFormat="false" ht="12.75" hidden="false" customHeight="true" outlineLevel="0" collapsed="false"/>
    <row r="63859" customFormat="false" ht="12.75" hidden="false" customHeight="true" outlineLevel="0" collapsed="false"/>
    <row r="63860" customFormat="false" ht="12.75" hidden="false" customHeight="true" outlineLevel="0" collapsed="false"/>
    <row r="63861" customFormat="false" ht="12.75" hidden="false" customHeight="true" outlineLevel="0" collapsed="false"/>
    <row r="63862" customFormat="false" ht="12.75" hidden="false" customHeight="true" outlineLevel="0" collapsed="false"/>
    <row r="63863" customFormat="false" ht="12.75" hidden="false" customHeight="true" outlineLevel="0" collapsed="false"/>
    <row r="63864" customFormat="false" ht="12.75" hidden="false" customHeight="true" outlineLevel="0" collapsed="false"/>
    <row r="63865" customFormat="false" ht="12.75" hidden="false" customHeight="true" outlineLevel="0" collapsed="false"/>
    <row r="63866" customFormat="false" ht="12.75" hidden="false" customHeight="true" outlineLevel="0" collapsed="false"/>
    <row r="63867" customFormat="false" ht="12.75" hidden="false" customHeight="true" outlineLevel="0" collapsed="false"/>
    <row r="63868" customFormat="false" ht="12.75" hidden="false" customHeight="true" outlineLevel="0" collapsed="false"/>
    <row r="63869" customFormat="false" ht="12.75" hidden="false" customHeight="true" outlineLevel="0" collapsed="false"/>
    <row r="63870" customFormat="false" ht="12.75" hidden="false" customHeight="true" outlineLevel="0" collapsed="false"/>
    <row r="63871" customFormat="false" ht="12.75" hidden="false" customHeight="true" outlineLevel="0" collapsed="false"/>
    <row r="63872" customFormat="false" ht="12.75" hidden="false" customHeight="true" outlineLevel="0" collapsed="false"/>
    <row r="63873" customFormat="false" ht="12.75" hidden="false" customHeight="true" outlineLevel="0" collapsed="false"/>
    <row r="63874" customFormat="false" ht="12.75" hidden="false" customHeight="true" outlineLevel="0" collapsed="false"/>
    <row r="63875" customFormat="false" ht="12.75" hidden="false" customHeight="true" outlineLevel="0" collapsed="false"/>
    <row r="63876" customFormat="false" ht="12.75" hidden="false" customHeight="true" outlineLevel="0" collapsed="false"/>
    <row r="63877" customFormat="false" ht="12.75" hidden="false" customHeight="true" outlineLevel="0" collapsed="false"/>
    <row r="63878" customFormat="false" ht="12.75" hidden="false" customHeight="true" outlineLevel="0" collapsed="false"/>
    <row r="63879" customFormat="false" ht="12.75" hidden="false" customHeight="true" outlineLevel="0" collapsed="false"/>
    <row r="63880" customFormat="false" ht="12.75" hidden="false" customHeight="true" outlineLevel="0" collapsed="false"/>
    <row r="63881" customFormat="false" ht="12.75" hidden="false" customHeight="true" outlineLevel="0" collapsed="false"/>
    <row r="63882" customFormat="false" ht="12.75" hidden="false" customHeight="true" outlineLevel="0" collapsed="false"/>
    <row r="63883" customFormat="false" ht="12.75" hidden="false" customHeight="true" outlineLevel="0" collapsed="false"/>
    <row r="63884" customFormat="false" ht="12.75" hidden="false" customHeight="true" outlineLevel="0" collapsed="false"/>
    <row r="63885" customFormat="false" ht="12.75" hidden="false" customHeight="true" outlineLevel="0" collapsed="false"/>
    <row r="63886" customFormat="false" ht="12.75" hidden="false" customHeight="true" outlineLevel="0" collapsed="false"/>
    <row r="63887" customFormat="false" ht="12.75" hidden="false" customHeight="true" outlineLevel="0" collapsed="false"/>
    <row r="63888" customFormat="false" ht="12.75" hidden="false" customHeight="true" outlineLevel="0" collapsed="false"/>
    <row r="63889" customFormat="false" ht="12.75" hidden="false" customHeight="true" outlineLevel="0" collapsed="false"/>
    <row r="63890" customFormat="false" ht="12.75" hidden="false" customHeight="true" outlineLevel="0" collapsed="false"/>
    <row r="63891" customFormat="false" ht="12.75" hidden="false" customHeight="true" outlineLevel="0" collapsed="false"/>
    <row r="63892" customFormat="false" ht="12.75" hidden="false" customHeight="true" outlineLevel="0" collapsed="false"/>
    <row r="63893" customFormat="false" ht="12.75" hidden="false" customHeight="true" outlineLevel="0" collapsed="false"/>
    <row r="63894" customFormat="false" ht="12.75" hidden="false" customHeight="true" outlineLevel="0" collapsed="false"/>
    <row r="63895" customFormat="false" ht="12.75" hidden="false" customHeight="true" outlineLevel="0" collapsed="false"/>
    <row r="63896" customFormat="false" ht="12.75" hidden="false" customHeight="true" outlineLevel="0" collapsed="false"/>
    <row r="63897" customFormat="false" ht="12.75" hidden="false" customHeight="true" outlineLevel="0" collapsed="false"/>
    <row r="63898" customFormat="false" ht="12.75" hidden="false" customHeight="true" outlineLevel="0" collapsed="false"/>
    <row r="63899" customFormat="false" ht="12.75" hidden="false" customHeight="true" outlineLevel="0" collapsed="false"/>
    <row r="63900" customFormat="false" ht="12.75" hidden="false" customHeight="true" outlineLevel="0" collapsed="false"/>
    <row r="63901" customFormat="false" ht="12.75" hidden="false" customHeight="true" outlineLevel="0" collapsed="false"/>
    <row r="63902" customFormat="false" ht="12.75" hidden="false" customHeight="true" outlineLevel="0" collapsed="false"/>
    <row r="63903" customFormat="false" ht="12.75" hidden="false" customHeight="true" outlineLevel="0" collapsed="false"/>
    <row r="63904" customFormat="false" ht="12.75" hidden="false" customHeight="true" outlineLevel="0" collapsed="false"/>
    <row r="63905" customFormat="false" ht="12.75" hidden="false" customHeight="true" outlineLevel="0" collapsed="false"/>
    <row r="63906" customFormat="false" ht="12.75" hidden="false" customHeight="true" outlineLevel="0" collapsed="false"/>
    <row r="63907" customFormat="false" ht="12.75" hidden="false" customHeight="true" outlineLevel="0" collapsed="false"/>
    <row r="63908" customFormat="false" ht="12.75" hidden="false" customHeight="true" outlineLevel="0" collapsed="false"/>
    <row r="63909" customFormat="false" ht="12.75" hidden="false" customHeight="true" outlineLevel="0" collapsed="false"/>
    <row r="63910" customFormat="false" ht="12.75" hidden="false" customHeight="true" outlineLevel="0" collapsed="false"/>
    <row r="63911" customFormat="false" ht="12.75" hidden="false" customHeight="true" outlineLevel="0" collapsed="false"/>
    <row r="63912" customFormat="false" ht="12.75" hidden="false" customHeight="true" outlineLevel="0" collapsed="false"/>
    <row r="63913" customFormat="false" ht="12.75" hidden="false" customHeight="true" outlineLevel="0" collapsed="false"/>
    <row r="63914" customFormat="false" ht="12.75" hidden="false" customHeight="true" outlineLevel="0" collapsed="false"/>
    <row r="63915" customFormat="false" ht="12.75" hidden="false" customHeight="true" outlineLevel="0" collapsed="false"/>
    <row r="63916" customFormat="false" ht="12.75" hidden="false" customHeight="true" outlineLevel="0" collapsed="false"/>
    <row r="63917" customFormat="false" ht="12.75" hidden="false" customHeight="true" outlineLevel="0" collapsed="false"/>
    <row r="63918" customFormat="false" ht="12.75" hidden="false" customHeight="true" outlineLevel="0" collapsed="false"/>
    <row r="63919" customFormat="false" ht="12.75" hidden="false" customHeight="true" outlineLevel="0" collapsed="false"/>
    <row r="63920" customFormat="false" ht="12.75" hidden="false" customHeight="true" outlineLevel="0" collapsed="false"/>
    <row r="63921" customFormat="false" ht="12.75" hidden="false" customHeight="true" outlineLevel="0" collapsed="false"/>
    <row r="63922" customFormat="false" ht="12.75" hidden="false" customHeight="true" outlineLevel="0" collapsed="false"/>
    <row r="63923" customFormat="false" ht="12.75" hidden="false" customHeight="true" outlineLevel="0" collapsed="false"/>
    <row r="63924" customFormat="false" ht="12.75" hidden="false" customHeight="true" outlineLevel="0" collapsed="false"/>
    <row r="63925" customFormat="false" ht="12.75" hidden="false" customHeight="true" outlineLevel="0" collapsed="false"/>
    <row r="63926" customFormat="false" ht="12.75" hidden="false" customHeight="true" outlineLevel="0" collapsed="false"/>
    <row r="63927" customFormat="false" ht="12.75" hidden="false" customHeight="true" outlineLevel="0" collapsed="false"/>
    <row r="63928" customFormat="false" ht="12.75" hidden="false" customHeight="true" outlineLevel="0" collapsed="false"/>
    <row r="63929" customFormat="false" ht="12.75" hidden="false" customHeight="true" outlineLevel="0" collapsed="false"/>
    <row r="63930" customFormat="false" ht="12.75" hidden="false" customHeight="true" outlineLevel="0" collapsed="false"/>
    <row r="63931" customFormat="false" ht="12.75" hidden="false" customHeight="true" outlineLevel="0" collapsed="false"/>
    <row r="63932" customFormat="false" ht="12.75" hidden="false" customHeight="true" outlineLevel="0" collapsed="false"/>
    <row r="63933" customFormat="false" ht="12.75" hidden="false" customHeight="true" outlineLevel="0" collapsed="false"/>
    <row r="63934" customFormat="false" ht="12.75" hidden="false" customHeight="true" outlineLevel="0" collapsed="false"/>
    <row r="63935" customFormat="false" ht="12.75" hidden="false" customHeight="true" outlineLevel="0" collapsed="false"/>
    <row r="63936" customFormat="false" ht="12.75" hidden="false" customHeight="true" outlineLevel="0" collapsed="false"/>
    <row r="63937" customFormat="false" ht="12.75" hidden="false" customHeight="true" outlineLevel="0" collapsed="false"/>
    <row r="63938" customFormat="false" ht="12.75" hidden="false" customHeight="true" outlineLevel="0" collapsed="false"/>
    <row r="63939" customFormat="false" ht="12.75" hidden="false" customHeight="true" outlineLevel="0" collapsed="false"/>
    <row r="63940" customFormat="false" ht="12.75" hidden="false" customHeight="true" outlineLevel="0" collapsed="false"/>
    <row r="63941" customFormat="false" ht="12.75" hidden="false" customHeight="true" outlineLevel="0" collapsed="false"/>
    <row r="63942" customFormat="false" ht="12.75" hidden="false" customHeight="true" outlineLevel="0" collapsed="false"/>
    <row r="63943" customFormat="false" ht="12.75" hidden="false" customHeight="true" outlineLevel="0" collapsed="false"/>
    <row r="63944" customFormat="false" ht="12.75" hidden="false" customHeight="true" outlineLevel="0" collapsed="false"/>
    <row r="63945" customFormat="false" ht="12.75" hidden="false" customHeight="true" outlineLevel="0" collapsed="false"/>
    <row r="63946" customFormat="false" ht="12.75" hidden="false" customHeight="true" outlineLevel="0" collapsed="false"/>
    <row r="63947" customFormat="false" ht="12.75" hidden="false" customHeight="true" outlineLevel="0" collapsed="false"/>
    <row r="63948" customFormat="false" ht="12.75" hidden="false" customHeight="true" outlineLevel="0" collapsed="false"/>
    <row r="63949" customFormat="false" ht="12.75" hidden="false" customHeight="true" outlineLevel="0" collapsed="false"/>
    <row r="63950" customFormat="false" ht="12.75" hidden="false" customHeight="true" outlineLevel="0" collapsed="false"/>
    <row r="63951" customFormat="false" ht="12.75" hidden="false" customHeight="true" outlineLevel="0" collapsed="false"/>
    <row r="63952" customFormat="false" ht="12.75" hidden="false" customHeight="true" outlineLevel="0" collapsed="false"/>
    <row r="63953" customFormat="false" ht="12.75" hidden="false" customHeight="true" outlineLevel="0" collapsed="false"/>
    <row r="63954" customFormat="false" ht="12.75" hidden="false" customHeight="true" outlineLevel="0" collapsed="false"/>
    <row r="63955" customFormat="false" ht="12.75" hidden="false" customHeight="true" outlineLevel="0" collapsed="false"/>
    <row r="63956" customFormat="false" ht="12.75" hidden="false" customHeight="true" outlineLevel="0" collapsed="false"/>
    <row r="63957" customFormat="false" ht="12.75" hidden="false" customHeight="true" outlineLevel="0" collapsed="false"/>
    <row r="63958" customFormat="false" ht="12.75" hidden="false" customHeight="true" outlineLevel="0" collapsed="false"/>
    <row r="63959" customFormat="false" ht="12.75" hidden="false" customHeight="true" outlineLevel="0" collapsed="false"/>
    <row r="63960" customFormat="false" ht="12.75" hidden="false" customHeight="true" outlineLevel="0" collapsed="false"/>
    <row r="63961" customFormat="false" ht="12.75" hidden="false" customHeight="true" outlineLevel="0" collapsed="false"/>
    <row r="63962" customFormat="false" ht="12.75" hidden="false" customHeight="true" outlineLevel="0" collapsed="false"/>
    <row r="63963" customFormat="false" ht="12.75" hidden="false" customHeight="true" outlineLevel="0" collapsed="false"/>
    <row r="63964" customFormat="false" ht="12.75" hidden="false" customHeight="true" outlineLevel="0" collapsed="false"/>
    <row r="63965" customFormat="false" ht="12.75" hidden="false" customHeight="true" outlineLevel="0" collapsed="false"/>
    <row r="63966" customFormat="false" ht="12.75" hidden="false" customHeight="true" outlineLevel="0" collapsed="false"/>
    <row r="63967" customFormat="false" ht="12.75" hidden="false" customHeight="true" outlineLevel="0" collapsed="false"/>
    <row r="63968" customFormat="false" ht="12.75" hidden="false" customHeight="true" outlineLevel="0" collapsed="false"/>
    <row r="63969" customFormat="false" ht="12.75" hidden="false" customHeight="true" outlineLevel="0" collapsed="false"/>
    <row r="63970" customFormat="false" ht="12.75" hidden="false" customHeight="true" outlineLevel="0" collapsed="false"/>
    <row r="63971" customFormat="false" ht="12.75" hidden="false" customHeight="true" outlineLevel="0" collapsed="false"/>
    <row r="63972" customFormat="false" ht="12.75" hidden="false" customHeight="true" outlineLevel="0" collapsed="false"/>
    <row r="63973" customFormat="false" ht="12.75" hidden="false" customHeight="true" outlineLevel="0" collapsed="false"/>
    <row r="63974" customFormat="false" ht="12.75" hidden="false" customHeight="true" outlineLevel="0" collapsed="false"/>
    <row r="63975" customFormat="false" ht="12.75" hidden="false" customHeight="true" outlineLevel="0" collapsed="false"/>
    <row r="63976" customFormat="false" ht="12.75" hidden="false" customHeight="true" outlineLevel="0" collapsed="false"/>
    <row r="63977" customFormat="false" ht="12.75" hidden="false" customHeight="true" outlineLevel="0" collapsed="false"/>
    <row r="63978" customFormat="false" ht="12.75" hidden="false" customHeight="true" outlineLevel="0" collapsed="false"/>
    <row r="63979" customFormat="false" ht="12.75" hidden="false" customHeight="true" outlineLevel="0" collapsed="false"/>
    <row r="63980" customFormat="false" ht="12.75" hidden="false" customHeight="true" outlineLevel="0" collapsed="false"/>
    <row r="63981" customFormat="false" ht="12.75" hidden="false" customHeight="true" outlineLevel="0" collapsed="false"/>
    <row r="63982" customFormat="false" ht="12.75" hidden="false" customHeight="true" outlineLevel="0" collapsed="false"/>
    <row r="63983" customFormat="false" ht="12.75" hidden="false" customHeight="true" outlineLevel="0" collapsed="false"/>
    <row r="63984" customFormat="false" ht="12.75" hidden="false" customHeight="true" outlineLevel="0" collapsed="false"/>
    <row r="63985" customFormat="false" ht="12.75" hidden="false" customHeight="true" outlineLevel="0" collapsed="false"/>
    <row r="63986" customFormat="false" ht="12.75" hidden="false" customHeight="true" outlineLevel="0" collapsed="false"/>
    <row r="63987" customFormat="false" ht="12.75" hidden="false" customHeight="true" outlineLevel="0" collapsed="false"/>
    <row r="63988" customFormat="false" ht="12.75" hidden="false" customHeight="true" outlineLevel="0" collapsed="false"/>
    <row r="63989" customFormat="false" ht="12.75" hidden="false" customHeight="true" outlineLevel="0" collapsed="false"/>
    <row r="63990" customFormat="false" ht="12.75" hidden="false" customHeight="true" outlineLevel="0" collapsed="false"/>
    <row r="63991" customFormat="false" ht="12.75" hidden="false" customHeight="true" outlineLevel="0" collapsed="false"/>
    <row r="63992" customFormat="false" ht="12.75" hidden="false" customHeight="true" outlineLevel="0" collapsed="false"/>
    <row r="63993" customFormat="false" ht="12.75" hidden="false" customHeight="true" outlineLevel="0" collapsed="false"/>
    <row r="63994" customFormat="false" ht="12.75" hidden="false" customHeight="true" outlineLevel="0" collapsed="false"/>
    <row r="63995" customFormat="false" ht="12.75" hidden="false" customHeight="true" outlineLevel="0" collapsed="false"/>
    <row r="63996" customFormat="false" ht="12.75" hidden="false" customHeight="true" outlineLevel="0" collapsed="false"/>
    <row r="63997" customFormat="false" ht="12.75" hidden="false" customHeight="true" outlineLevel="0" collapsed="false"/>
    <row r="63998" customFormat="false" ht="12.75" hidden="false" customHeight="true" outlineLevel="0" collapsed="false"/>
    <row r="63999" customFormat="false" ht="12.75" hidden="false" customHeight="true" outlineLevel="0" collapsed="false"/>
    <row r="64000" customFormat="false" ht="12.75" hidden="false" customHeight="true" outlineLevel="0" collapsed="false"/>
    <row r="64001" customFormat="false" ht="12.75" hidden="false" customHeight="true" outlineLevel="0" collapsed="false"/>
    <row r="64002" customFormat="false" ht="12.75" hidden="false" customHeight="true" outlineLevel="0" collapsed="false"/>
    <row r="64003" customFormat="false" ht="12.75" hidden="false" customHeight="true" outlineLevel="0" collapsed="false"/>
    <row r="64004" customFormat="false" ht="12.75" hidden="false" customHeight="true" outlineLevel="0" collapsed="false"/>
    <row r="64005" customFormat="false" ht="12.75" hidden="false" customHeight="true" outlineLevel="0" collapsed="false"/>
    <row r="64006" customFormat="false" ht="12.75" hidden="false" customHeight="true" outlineLevel="0" collapsed="false"/>
    <row r="64007" customFormat="false" ht="12.75" hidden="false" customHeight="true" outlineLevel="0" collapsed="false"/>
    <row r="64008" customFormat="false" ht="12.75" hidden="false" customHeight="true" outlineLevel="0" collapsed="false"/>
    <row r="64009" customFormat="false" ht="12.75" hidden="false" customHeight="true" outlineLevel="0" collapsed="false"/>
    <row r="64010" customFormat="false" ht="12.75" hidden="false" customHeight="true" outlineLevel="0" collapsed="false"/>
    <row r="64011" customFormat="false" ht="12.75" hidden="false" customHeight="true" outlineLevel="0" collapsed="false"/>
    <row r="64012" customFormat="false" ht="12.75" hidden="false" customHeight="true" outlineLevel="0" collapsed="false"/>
    <row r="64013" customFormat="false" ht="12.75" hidden="false" customHeight="true" outlineLevel="0" collapsed="false"/>
    <row r="64014" customFormat="false" ht="12.75" hidden="false" customHeight="true" outlineLevel="0" collapsed="false"/>
    <row r="64015" customFormat="false" ht="12.75" hidden="false" customHeight="true" outlineLevel="0" collapsed="false"/>
    <row r="64016" customFormat="false" ht="12.75" hidden="false" customHeight="true" outlineLevel="0" collapsed="false"/>
    <row r="64017" customFormat="false" ht="12.75" hidden="false" customHeight="true" outlineLevel="0" collapsed="false"/>
    <row r="64018" customFormat="false" ht="12.75" hidden="false" customHeight="true" outlineLevel="0" collapsed="false"/>
    <row r="64019" customFormat="false" ht="12.75" hidden="false" customHeight="true" outlineLevel="0" collapsed="false"/>
    <row r="64020" customFormat="false" ht="12.75" hidden="false" customHeight="true" outlineLevel="0" collapsed="false"/>
    <row r="64021" customFormat="false" ht="12.75" hidden="false" customHeight="true" outlineLevel="0" collapsed="false"/>
    <row r="64022" customFormat="false" ht="12.75" hidden="false" customHeight="true" outlineLevel="0" collapsed="false"/>
    <row r="64023" customFormat="false" ht="12.75" hidden="false" customHeight="true" outlineLevel="0" collapsed="false"/>
    <row r="64024" customFormat="false" ht="12.75" hidden="false" customHeight="true" outlineLevel="0" collapsed="false"/>
    <row r="64025" customFormat="false" ht="12.75" hidden="false" customHeight="true" outlineLevel="0" collapsed="false"/>
    <row r="64026" customFormat="false" ht="12.75" hidden="false" customHeight="true" outlineLevel="0" collapsed="false"/>
    <row r="64027" customFormat="false" ht="12.75" hidden="false" customHeight="true" outlineLevel="0" collapsed="false"/>
    <row r="64028" customFormat="false" ht="12.75" hidden="false" customHeight="true" outlineLevel="0" collapsed="false"/>
    <row r="64029" customFormat="false" ht="12.75" hidden="false" customHeight="true" outlineLevel="0" collapsed="false"/>
    <row r="64030" customFormat="false" ht="12.75" hidden="false" customHeight="true" outlineLevel="0" collapsed="false"/>
    <row r="64031" customFormat="false" ht="12.75" hidden="false" customHeight="true" outlineLevel="0" collapsed="false"/>
    <row r="64032" customFormat="false" ht="12.75" hidden="false" customHeight="true" outlineLevel="0" collapsed="false"/>
    <row r="64033" customFormat="false" ht="12.75" hidden="false" customHeight="true" outlineLevel="0" collapsed="false"/>
    <row r="64034" customFormat="false" ht="12.75" hidden="false" customHeight="true" outlineLevel="0" collapsed="false"/>
    <row r="64035" customFormat="false" ht="12.75" hidden="false" customHeight="true" outlineLevel="0" collapsed="false"/>
    <row r="64036" customFormat="false" ht="12.75" hidden="false" customHeight="true" outlineLevel="0" collapsed="false"/>
    <row r="64037" customFormat="false" ht="12.75" hidden="false" customHeight="true" outlineLevel="0" collapsed="false"/>
    <row r="64038" customFormat="false" ht="12.75" hidden="false" customHeight="true" outlineLevel="0" collapsed="false"/>
    <row r="64039" customFormat="false" ht="12.75" hidden="false" customHeight="true" outlineLevel="0" collapsed="false"/>
    <row r="64040" customFormat="false" ht="12.75" hidden="false" customHeight="true" outlineLevel="0" collapsed="false"/>
    <row r="64041" customFormat="false" ht="12.75" hidden="false" customHeight="true" outlineLevel="0" collapsed="false"/>
    <row r="64042" customFormat="false" ht="12.75" hidden="false" customHeight="true" outlineLevel="0" collapsed="false"/>
    <row r="64043" customFormat="false" ht="12.75" hidden="false" customHeight="true" outlineLevel="0" collapsed="false"/>
    <row r="64044" customFormat="false" ht="12.75" hidden="false" customHeight="true" outlineLevel="0" collapsed="false"/>
    <row r="64045" customFormat="false" ht="12.75" hidden="false" customHeight="true" outlineLevel="0" collapsed="false"/>
    <row r="64046" customFormat="false" ht="12.75" hidden="false" customHeight="true" outlineLevel="0" collapsed="false"/>
    <row r="64047" customFormat="false" ht="12.75" hidden="false" customHeight="true" outlineLevel="0" collapsed="false"/>
    <row r="64048" customFormat="false" ht="12.75" hidden="false" customHeight="true" outlineLevel="0" collapsed="false"/>
    <row r="64049" customFormat="false" ht="12.75" hidden="false" customHeight="true" outlineLevel="0" collapsed="false"/>
    <row r="64050" customFormat="false" ht="12.75" hidden="false" customHeight="true" outlineLevel="0" collapsed="false"/>
    <row r="64051" customFormat="false" ht="12.75" hidden="false" customHeight="true" outlineLevel="0" collapsed="false"/>
    <row r="64052" customFormat="false" ht="12.75" hidden="false" customHeight="true" outlineLevel="0" collapsed="false"/>
    <row r="64053" customFormat="false" ht="12.75" hidden="false" customHeight="true" outlineLevel="0" collapsed="false"/>
    <row r="64054" customFormat="false" ht="12.75" hidden="false" customHeight="true" outlineLevel="0" collapsed="false"/>
    <row r="64055" customFormat="false" ht="12.75" hidden="false" customHeight="true" outlineLevel="0" collapsed="false"/>
    <row r="64056" customFormat="false" ht="12.75" hidden="false" customHeight="true" outlineLevel="0" collapsed="false"/>
    <row r="64057" customFormat="false" ht="12.75" hidden="false" customHeight="true" outlineLevel="0" collapsed="false"/>
    <row r="64058" customFormat="false" ht="12.75" hidden="false" customHeight="true" outlineLevel="0" collapsed="false"/>
    <row r="64059" customFormat="false" ht="12.75" hidden="false" customHeight="true" outlineLevel="0" collapsed="false"/>
    <row r="64060" customFormat="false" ht="12.75" hidden="false" customHeight="true" outlineLevel="0" collapsed="false"/>
    <row r="64061" customFormat="false" ht="12.75" hidden="false" customHeight="true" outlineLevel="0" collapsed="false"/>
    <row r="64062" customFormat="false" ht="12.75" hidden="false" customHeight="true" outlineLevel="0" collapsed="false"/>
    <row r="64063" customFormat="false" ht="12.75" hidden="false" customHeight="true" outlineLevel="0" collapsed="false"/>
    <row r="64064" customFormat="false" ht="12.75" hidden="false" customHeight="true" outlineLevel="0" collapsed="false"/>
    <row r="64065" customFormat="false" ht="12.75" hidden="false" customHeight="true" outlineLevel="0" collapsed="false"/>
    <row r="64066" customFormat="false" ht="12.75" hidden="false" customHeight="true" outlineLevel="0" collapsed="false"/>
    <row r="64067" customFormat="false" ht="12.75" hidden="false" customHeight="true" outlineLevel="0" collapsed="false"/>
    <row r="64068" customFormat="false" ht="12.75" hidden="false" customHeight="true" outlineLevel="0" collapsed="false"/>
    <row r="64069" customFormat="false" ht="12.75" hidden="false" customHeight="true" outlineLevel="0" collapsed="false"/>
    <row r="64070" customFormat="false" ht="12.75" hidden="false" customHeight="true" outlineLevel="0" collapsed="false"/>
    <row r="64071" customFormat="false" ht="12.75" hidden="false" customHeight="true" outlineLevel="0" collapsed="false"/>
    <row r="64072" customFormat="false" ht="12.75" hidden="false" customHeight="true" outlineLevel="0" collapsed="false"/>
    <row r="64073" customFormat="false" ht="12.75" hidden="false" customHeight="true" outlineLevel="0" collapsed="false"/>
    <row r="64074" customFormat="false" ht="12.75" hidden="false" customHeight="true" outlineLevel="0" collapsed="false"/>
    <row r="64075" customFormat="false" ht="12.75" hidden="false" customHeight="true" outlineLevel="0" collapsed="false"/>
    <row r="64076" customFormat="false" ht="12.75" hidden="false" customHeight="true" outlineLevel="0" collapsed="false"/>
    <row r="64077" customFormat="false" ht="12.75" hidden="false" customHeight="true" outlineLevel="0" collapsed="false"/>
    <row r="64078" customFormat="false" ht="12.75" hidden="false" customHeight="true" outlineLevel="0" collapsed="false"/>
    <row r="64079" customFormat="false" ht="12.75" hidden="false" customHeight="true" outlineLevel="0" collapsed="false"/>
    <row r="64080" customFormat="false" ht="12.75" hidden="false" customHeight="true" outlineLevel="0" collapsed="false"/>
    <row r="64081" customFormat="false" ht="12.75" hidden="false" customHeight="true" outlineLevel="0" collapsed="false"/>
    <row r="64082" customFormat="false" ht="12.75" hidden="false" customHeight="true" outlineLevel="0" collapsed="false"/>
    <row r="64083" customFormat="false" ht="12.75" hidden="false" customHeight="true" outlineLevel="0" collapsed="false"/>
    <row r="64084" customFormat="false" ht="12.75" hidden="false" customHeight="true" outlineLevel="0" collapsed="false"/>
    <row r="64085" customFormat="false" ht="12.75" hidden="false" customHeight="true" outlineLevel="0" collapsed="false"/>
    <row r="64086" customFormat="false" ht="12.75" hidden="false" customHeight="true" outlineLevel="0" collapsed="false"/>
    <row r="64087" customFormat="false" ht="12.75" hidden="false" customHeight="true" outlineLevel="0" collapsed="false"/>
    <row r="64088" customFormat="false" ht="12.75" hidden="false" customHeight="true" outlineLevel="0" collapsed="false"/>
    <row r="64089" customFormat="false" ht="12.75" hidden="false" customHeight="true" outlineLevel="0" collapsed="false"/>
    <row r="64090" customFormat="false" ht="12.75" hidden="false" customHeight="true" outlineLevel="0" collapsed="false"/>
    <row r="64091" customFormat="false" ht="12.75" hidden="false" customHeight="true" outlineLevel="0" collapsed="false"/>
    <row r="64092" customFormat="false" ht="12.75" hidden="false" customHeight="true" outlineLevel="0" collapsed="false"/>
    <row r="64093" customFormat="false" ht="12.75" hidden="false" customHeight="true" outlineLevel="0" collapsed="false"/>
    <row r="64094" customFormat="false" ht="12.75" hidden="false" customHeight="true" outlineLevel="0" collapsed="false"/>
    <row r="64095" customFormat="false" ht="12.75" hidden="false" customHeight="true" outlineLevel="0" collapsed="false"/>
    <row r="64096" customFormat="false" ht="12.75" hidden="false" customHeight="true" outlineLevel="0" collapsed="false"/>
    <row r="64097" customFormat="false" ht="12.75" hidden="false" customHeight="true" outlineLevel="0" collapsed="false"/>
    <row r="64098" customFormat="false" ht="12.75" hidden="false" customHeight="true" outlineLevel="0" collapsed="false"/>
    <row r="64099" customFormat="false" ht="12.75" hidden="false" customHeight="true" outlineLevel="0" collapsed="false"/>
    <row r="64100" customFormat="false" ht="12.75" hidden="false" customHeight="true" outlineLevel="0" collapsed="false"/>
    <row r="64101" customFormat="false" ht="12.75" hidden="false" customHeight="true" outlineLevel="0" collapsed="false"/>
    <row r="64102" customFormat="false" ht="12.75" hidden="false" customHeight="true" outlineLevel="0" collapsed="false"/>
    <row r="64103" customFormat="false" ht="12.75" hidden="false" customHeight="true" outlineLevel="0" collapsed="false"/>
    <row r="64104" customFormat="false" ht="12.75" hidden="false" customHeight="true" outlineLevel="0" collapsed="false"/>
    <row r="64105" customFormat="false" ht="12.75" hidden="false" customHeight="true" outlineLevel="0" collapsed="false"/>
    <row r="64106" customFormat="false" ht="12.75" hidden="false" customHeight="true" outlineLevel="0" collapsed="false"/>
    <row r="64107" customFormat="false" ht="12.75" hidden="false" customHeight="true" outlineLevel="0" collapsed="false"/>
    <row r="64108" customFormat="false" ht="12.75" hidden="false" customHeight="true" outlineLevel="0" collapsed="false"/>
    <row r="64109" customFormat="false" ht="12.75" hidden="false" customHeight="true" outlineLevel="0" collapsed="false"/>
    <row r="64110" customFormat="false" ht="12.75" hidden="false" customHeight="true" outlineLevel="0" collapsed="false"/>
    <row r="64111" customFormat="false" ht="12.75" hidden="false" customHeight="true" outlineLevel="0" collapsed="false"/>
    <row r="64112" customFormat="false" ht="12.75" hidden="false" customHeight="true" outlineLevel="0" collapsed="false"/>
    <row r="64113" customFormat="false" ht="12.75" hidden="false" customHeight="true" outlineLevel="0" collapsed="false"/>
    <row r="64114" customFormat="false" ht="12.75" hidden="false" customHeight="true" outlineLevel="0" collapsed="false"/>
    <row r="64115" customFormat="false" ht="12.75" hidden="false" customHeight="true" outlineLevel="0" collapsed="false"/>
    <row r="64116" customFormat="false" ht="12.75" hidden="false" customHeight="true" outlineLevel="0" collapsed="false"/>
    <row r="64117" customFormat="false" ht="12.75" hidden="false" customHeight="true" outlineLevel="0" collapsed="false"/>
    <row r="64118" customFormat="false" ht="12.75" hidden="false" customHeight="true" outlineLevel="0" collapsed="false"/>
    <row r="64119" customFormat="false" ht="12.75" hidden="false" customHeight="true" outlineLevel="0" collapsed="false"/>
    <row r="64120" customFormat="false" ht="12.75" hidden="false" customHeight="true" outlineLevel="0" collapsed="false"/>
    <row r="64121" customFormat="false" ht="12.75" hidden="false" customHeight="true" outlineLevel="0" collapsed="false"/>
    <row r="64122" customFormat="false" ht="12.75" hidden="false" customHeight="true" outlineLevel="0" collapsed="false"/>
    <row r="64123" customFormat="false" ht="12.75" hidden="false" customHeight="true" outlineLevel="0" collapsed="false"/>
    <row r="64124" customFormat="false" ht="12.75" hidden="false" customHeight="true" outlineLevel="0" collapsed="false"/>
    <row r="64125" customFormat="false" ht="12.75" hidden="false" customHeight="true" outlineLevel="0" collapsed="false"/>
    <row r="64126" customFormat="false" ht="12.75" hidden="false" customHeight="true" outlineLevel="0" collapsed="false"/>
    <row r="64127" customFormat="false" ht="12.75" hidden="false" customHeight="true" outlineLevel="0" collapsed="false"/>
    <row r="64128" customFormat="false" ht="12.75" hidden="false" customHeight="true" outlineLevel="0" collapsed="false"/>
    <row r="64129" customFormat="false" ht="12.75" hidden="false" customHeight="true" outlineLevel="0" collapsed="false"/>
    <row r="64130" customFormat="false" ht="12.75" hidden="false" customHeight="true" outlineLevel="0" collapsed="false"/>
    <row r="64131" customFormat="false" ht="12.75" hidden="false" customHeight="true" outlineLevel="0" collapsed="false"/>
    <row r="64132" customFormat="false" ht="12.75" hidden="false" customHeight="true" outlineLevel="0" collapsed="false"/>
    <row r="64133" customFormat="false" ht="12.75" hidden="false" customHeight="true" outlineLevel="0" collapsed="false"/>
    <row r="64134" customFormat="false" ht="12.75" hidden="false" customHeight="true" outlineLevel="0" collapsed="false"/>
    <row r="64135" customFormat="false" ht="12.75" hidden="false" customHeight="true" outlineLevel="0" collapsed="false"/>
    <row r="64136" customFormat="false" ht="12.75" hidden="false" customHeight="true" outlineLevel="0" collapsed="false"/>
    <row r="64137" customFormat="false" ht="12.75" hidden="false" customHeight="true" outlineLevel="0" collapsed="false"/>
    <row r="64138" customFormat="false" ht="12.75" hidden="false" customHeight="true" outlineLevel="0" collapsed="false"/>
    <row r="64139" customFormat="false" ht="12.75" hidden="false" customHeight="true" outlineLevel="0" collapsed="false"/>
    <row r="64140" customFormat="false" ht="12.75" hidden="false" customHeight="true" outlineLevel="0" collapsed="false"/>
    <row r="64141" customFormat="false" ht="12.75" hidden="false" customHeight="true" outlineLevel="0" collapsed="false"/>
    <row r="64142" customFormat="false" ht="12.75" hidden="false" customHeight="true" outlineLevel="0" collapsed="false"/>
    <row r="64143" customFormat="false" ht="12.75" hidden="false" customHeight="true" outlineLevel="0" collapsed="false"/>
    <row r="64144" customFormat="false" ht="12.75" hidden="false" customHeight="true" outlineLevel="0" collapsed="false"/>
    <row r="64145" customFormat="false" ht="12.75" hidden="false" customHeight="true" outlineLevel="0" collapsed="false"/>
    <row r="64146" customFormat="false" ht="12.75" hidden="false" customHeight="true" outlineLevel="0" collapsed="false"/>
    <row r="64147" customFormat="false" ht="12.75" hidden="false" customHeight="true" outlineLevel="0" collapsed="false"/>
    <row r="64148" customFormat="false" ht="12.75" hidden="false" customHeight="true" outlineLevel="0" collapsed="false"/>
    <row r="64149" customFormat="false" ht="12.75" hidden="false" customHeight="true" outlineLevel="0" collapsed="false"/>
    <row r="64150" customFormat="false" ht="12.75" hidden="false" customHeight="true" outlineLevel="0" collapsed="false"/>
    <row r="64151" customFormat="false" ht="12.75" hidden="false" customHeight="true" outlineLevel="0" collapsed="false"/>
    <row r="64152" customFormat="false" ht="12.75" hidden="false" customHeight="true" outlineLevel="0" collapsed="false"/>
    <row r="64153" customFormat="false" ht="12.75" hidden="false" customHeight="true" outlineLevel="0" collapsed="false"/>
    <row r="64154" customFormat="false" ht="12.75" hidden="false" customHeight="true" outlineLevel="0" collapsed="false"/>
    <row r="64155" customFormat="false" ht="12.75" hidden="false" customHeight="true" outlineLevel="0" collapsed="false"/>
    <row r="64156" customFormat="false" ht="12.75" hidden="false" customHeight="true" outlineLevel="0" collapsed="false"/>
    <row r="64157" customFormat="false" ht="12.75" hidden="false" customHeight="true" outlineLevel="0" collapsed="false"/>
    <row r="64158" customFormat="false" ht="12.75" hidden="false" customHeight="true" outlineLevel="0" collapsed="false"/>
    <row r="64159" customFormat="false" ht="12.75" hidden="false" customHeight="true" outlineLevel="0" collapsed="false"/>
    <row r="64160" customFormat="false" ht="12.75" hidden="false" customHeight="true" outlineLevel="0" collapsed="false"/>
    <row r="64161" customFormat="false" ht="12.75" hidden="false" customHeight="true" outlineLevel="0" collapsed="false"/>
    <row r="64162" customFormat="false" ht="12.75" hidden="false" customHeight="true" outlineLevel="0" collapsed="false"/>
    <row r="64163" customFormat="false" ht="12.75" hidden="false" customHeight="true" outlineLevel="0" collapsed="false"/>
    <row r="64164" customFormat="false" ht="12.75" hidden="false" customHeight="true" outlineLevel="0" collapsed="false"/>
    <row r="64165" customFormat="false" ht="12.75" hidden="false" customHeight="true" outlineLevel="0" collapsed="false"/>
    <row r="64166" customFormat="false" ht="12.75" hidden="false" customHeight="true" outlineLevel="0" collapsed="false"/>
    <row r="64167" customFormat="false" ht="12.75" hidden="false" customHeight="true" outlineLevel="0" collapsed="false"/>
    <row r="64168" customFormat="false" ht="12.75" hidden="false" customHeight="true" outlineLevel="0" collapsed="false"/>
    <row r="64169" customFormat="false" ht="12.75" hidden="false" customHeight="true" outlineLevel="0" collapsed="false"/>
    <row r="64170" customFormat="false" ht="12.75" hidden="false" customHeight="true" outlineLevel="0" collapsed="false"/>
    <row r="64171" customFormat="false" ht="12.75" hidden="false" customHeight="true" outlineLevel="0" collapsed="false"/>
    <row r="64172" customFormat="false" ht="12.75" hidden="false" customHeight="true" outlineLevel="0" collapsed="false"/>
    <row r="64173" customFormat="false" ht="12.75" hidden="false" customHeight="true" outlineLevel="0" collapsed="false"/>
    <row r="64174" customFormat="false" ht="12.75" hidden="false" customHeight="true" outlineLevel="0" collapsed="false"/>
    <row r="64175" customFormat="false" ht="12.75" hidden="false" customHeight="true" outlineLevel="0" collapsed="false"/>
    <row r="64176" customFormat="false" ht="12.75" hidden="false" customHeight="true" outlineLevel="0" collapsed="false"/>
    <row r="64177" customFormat="false" ht="12.75" hidden="false" customHeight="true" outlineLevel="0" collapsed="false"/>
    <row r="64178" customFormat="false" ht="12.75" hidden="false" customHeight="true" outlineLevel="0" collapsed="false"/>
    <row r="64179" customFormat="false" ht="12.75" hidden="false" customHeight="true" outlineLevel="0" collapsed="false"/>
    <row r="64180" customFormat="false" ht="12.75" hidden="false" customHeight="true" outlineLevel="0" collapsed="false"/>
    <row r="64181" customFormat="false" ht="12.75" hidden="false" customHeight="true" outlineLevel="0" collapsed="false"/>
    <row r="64182" customFormat="false" ht="12.75" hidden="false" customHeight="true" outlineLevel="0" collapsed="false"/>
    <row r="64183" customFormat="false" ht="12.75" hidden="false" customHeight="true" outlineLevel="0" collapsed="false"/>
    <row r="64184" customFormat="false" ht="12.75" hidden="false" customHeight="true" outlineLevel="0" collapsed="false"/>
    <row r="64185" customFormat="false" ht="12.75" hidden="false" customHeight="true" outlineLevel="0" collapsed="false"/>
    <row r="64186" customFormat="false" ht="12.75" hidden="false" customHeight="true" outlineLevel="0" collapsed="false"/>
    <row r="64187" customFormat="false" ht="12.75" hidden="false" customHeight="true" outlineLevel="0" collapsed="false"/>
    <row r="64188" customFormat="false" ht="12.75" hidden="false" customHeight="true" outlineLevel="0" collapsed="false"/>
    <row r="64189" customFormat="false" ht="12.75" hidden="false" customHeight="true" outlineLevel="0" collapsed="false"/>
    <row r="64190" customFormat="false" ht="12.75" hidden="false" customHeight="true" outlineLevel="0" collapsed="false"/>
    <row r="64191" customFormat="false" ht="12.75" hidden="false" customHeight="true" outlineLevel="0" collapsed="false"/>
    <row r="64192" customFormat="false" ht="12.75" hidden="false" customHeight="true" outlineLevel="0" collapsed="false"/>
    <row r="64193" customFormat="false" ht="12.75" hidden="false" customHeight="true" outlineLevel="0" collapsed="false"/>
    <row r="64194" customFormat="false" ht="12.75" hidden="false" customHeight="true" outlineLevel="0" collapsed="false"/>
    <row r="64195" customFormat="false" ht="12.75" hidden="false" customHeight="true" outlineLevel="0" collapsed="false"/>
    <row r="64196" customFormat="false" ht="12.75" hidden="false" customHeight="true" outlineLevel="0" collapsed="false"/>
    <row r="64197" customFormat="false" ht="12.75" hidden="false" customHeight="true" outlineLevel="0" collapsed="false"/>
    <row r="64198" customFormat="false" ht="12.75" hidden="false" customHeight="true" outlineLevel="0" collapsed="false"/>
    <row r="64199" customFormat="false" ht="12.75" hidden="false" customHeight="true" outlineLevel="0" collapsed="false"/>
    <row r="64200" customFormat="false" ht="12.75" hidden="false" customHeight="true" outlineLevel="0" collapsed="false"/>
    <row r="64201" customFormat="false" ht="12.75" hidden="false" customHeight="true" outlineLevel="0" collapsed="false"/>
    <row r="64202" customFormat="false" ht="12.75" hidden="false" customHeight="true" outlineLevel="0" collapsed="false"/>
    <row r="64203" customFormat="false" ht="12.75" hidden="false" customHeight="true" outlineLevel="0" collapsed="false"/>
    <row r="64204" customFormat="false" ht="12.75" hidden="false" customHeight="true" outlineLevel="0" collapsed="false"/>
    <row r="64205" customFormat="false" ht="12.75" hidden="false" customHeight="true" outlineLevel="0" collapsed="false"/>
    <row r="64206" customFormat="false" ht="12.75" hidden="false" customHeight="true" outlineLevel="0" collapsed="false"/>
    <row r="64207" customFormat="false" ht="12.75" hidden="false" customHeight="true" outlineLevel="0" collapsed="false"/>
    <row r="64208" customFormat="false" ht="12.75" hidden="false" customHeight="true" outlineLevel="0" collapsed="false"/>
    <row r="64209" customFormat="false" ht="12.75" hidden="false" customHeight="true" outlineLevel="0" collapsed="false"/>
    <row r="64210" customFormat="false" ht="12.75" hidden="false" customHeight="true" outlineLevel="0" collapsed="false"/>
    <row r="64211" customFormat="false" ht="12.75" hidden="false" customHeight="true" outlineLevel="0" collapsed="false"/>
    <row r="64212" customFormat="false" ht="12.75" hidden="false" customHeight="true" outlineLevel="0" collapsed="false"/>
    <row r="64213" customFormat="false" ht="12.75" hidden="false" customHeight="true" outlineLevel="0" collapsed="false"/>
    <row r="64214" customFormat="false" ht="12.75" hidden="false" customHeight="true" outlineLevel="0" collapsed="false"/>
    <row r="64215" customFormat="false" ht="12.75" hidden="false" customHeight="true" outlineLevel="0" collapsed="false"/>
    <row r="64216" customFormat="false" ht="12.75" hidden="false" customHeight="true" outlineLevel="0" collapsed="false"/>
    <row r="64217" customFormat="false" ht="12.75" hidden="false" customHeight="true" outlineLevel="0" collapsed="false"/>
    <row r="64218" customFormat="false" ht="12.75" hidden="false" customHeight="true" outlineLevel="0" collapsed="false"/>
    <row r="64219" customFormat="false" ht="12.75" hidden="false" customHeight="true" outlineLevel="0" collapsed="false"/>
    <row r="64220" customFormat="false" ht="12.75" hidden="false" customHeight="true" outlineLevel="0" collapsed="false"/>
    <row r="64221" customFormat="false" ht="12.75" hidden="false" customHeight="true" outlineLevel="0" collapsed="false"/>
    <row r="64222" customFormat="false" ht="12.75" hidden="false" customHeight="true" outlineLevel="0" collapsed="false"/>
    <row r="64223" customFormat="false" ht="12.75" hidden="false" customHeight="true" outlineLevel="0" collapsed="false"/>
    <row r="64224" customFormat="false" ht="12.75" hidden="false" customHeight="true" outlineLevel="0" collapsed="false"/>
    <row r="64225" customFormat="false" ht="12.75" hidden="false" customHeight="true" outlineLevel="0" collapsed="false"/>
    <row r="64226" customFormat="false" ht="12.75" hidden="false" customHeight="true" outlineLevel="0" collapsed="false"/>
    <row r="64227" customFormat="false" ht="12.75" hidden="false" customHeight="true" outlineLevel="0" collapsed="false"/>
    <row r="64228" customFormat="false" ht="12.75" hidden="false" customHeight="true" outlineLevel="0" collapsed="false"/>
    <row r="64229" customFormat="false" ht="12.75" hidden="false" customHeight="true" outlineLevel="0" collapsed="false"/>
    <row r="64230" customFormat="false" ht="12.75" hidden="false" customHeight="true" outlineLevel="0" collapsed="false"/>
    <row r="64231" customFormat="false" ht="12.75" hidden="false" customHeight="true" outlineLevel="0" collapsed="false"/>
    <row r="64232" customFormat="false" ht="12.75" hidden="false" customHeight="true" outlineLevel="0" collapsed="false"/>
    <row r="64233" customFormat="false" ht="12.75" hidden="false" customHeight="true" outlineLevel="0" collapsed="false"/>
    <row r="64234" customFormat="false" ht="12.75" hidden="false" customHeight="true" outlineLevel="0" collapsed="false"/>
    <row r="64235" customFormat="false" ht="12.75" hidden="false" customHeight="true" outlineLevel="0" collapsed="false"/>
    <row r="64236" customFormat="false" ht="12.75" hidden="false" customHeight="true" outlineLevel="0" collapsed="false"/>
    <row r="64237" customFormat="false" ht="12.75" hidden="false" customHeight="true" outlineLevel="0" collapsed="false"/>
    <row r="64238" customFormat="false" ht="12.75" hidden="false" customHeight="true" outlineLevel="0" collapsed="false"/>
    <row r="64239" customFormat="false" ht="12.75" hidden="false" customHeight="true" outlineLevel="0" collapsed="false"/>
    <row r="64240" customFormat="false" ht="12.75" hidden="false" customHeight="true" outlineLevel="0" collapsed="false"/>
    <row r="64241" customFormat="false" ht="12.75" hidden="false" customHeight="true" outlineLevel="0" collapsed="false"/>
    <row r="64242" customFormat="false" ht="12.75" hidden="false" customHeight="true" outlineLevel="0" collapsed="false"/>
    <row r="64243" customFormat="false" ht="12.75" hidden="false" customHeight="true" outlineLevel="0" collapsed="false"/>
    <row r="64244" customFormat="false" ht="12.75" hidden="false" customHeight="true" outlineLevel="0" collapsed="false"/>
    <row r="64245" customFormat="false" ht="12.75" hidden="false" customHeight="true" outlineLevel="0" collapsed="false"/>
    <row r="64246" customFormat="false" ht="12.75" hidden="false" customHeight="true" outlineLevel="0" collapsed="false"/>
    <row r="64247" customFormat="false" ht="12.75" hidden="false" customHeight="true" outlineLevel="0" collapsed="false"/>
    <row r="64248" customFormat="false" ht="12.75" hidden="false" customHeight="true" outlineLevel="0" collapsed="false"/>
    <row r="64249" customFormat="false" ht="12.75" hidden="false" customHeight="true" outlineLevel="0" collapsed="false"/>
    <row r="64250" customFormat="false" ht="12.75" hidden="false" customHeight="true" outlineLevel="0" collapsed="false"/>
    <row r="64251" customFormat="false" ht="12.75" hidden="false" customHeight="true" outlineLevel="0" collapsed="false"/>
    <row r="64252" customFormat="false" ht="12.75" hidden="false" customHeight="true" outlineLevel="0" collapsed="false"/>
    <row r="64253" customFormat="false" ht="12.75" hidden="false" customHeight="true" outlineLevel="0" collapsed="false"/>
    <row r="64254" customFormat="false" ht="12.75" hidden="false" customHeight="true" outlineLevel="0" collapsed="false"/>
    <row r="64255" customFormat="false" ht="12.75" hidden="false" customHeight="true" outlineLevel="0" collapsed="false"/>
    <row r="64256" customFormat="false" ht="12.75" hidden="false" customHeight="true" outlineLevel="0" collapsed="false"/>
    <row r="64257" customFormat="false" ht="12.75" hidden="false" customHeight="true" outlineLevel="0" collapsed="false"/>
    <row r="64258" customFormat="false" ht="12.75" hidden="false" customHeight="true" outlineLevel="0" collapsed="false"/>
    <row r="64259" customFormat="false" ht="12.75" hidden="false" customHeight="true" outlineLevel="0" collapsed="false"/>
    <row r="64260" customFormat="false" ht="12.75" hidden="false" customHeight="true" outlineLevel="0" collapsed="false"/>
    <row r="64261" customFormat="false" ht="12.75" hidden="false" customHeight="true" outlineLevel="0" collapsed="false"/>
    <row r="64262" customFormat="false" ht="12.75" hidden="false" customHeight="true" outlineLevel="0" collapsed="false"/>
    <row r="64263" customFormat="false" ht="12.75" hidden="false" customHeight="true" outlineLevel="0" collapsed="false"/>
    <row r="64264" customFormat="false" ht="12.75" hidden="false" customHeight="true" outlineLevel="0" collapsed="false"/>
    <row r="64265" customFormat="false" ht="12.75" hidden="false" customHeight="true" outlineLevel="0" collapsed="false"/>
    <row r="64266" customFormat="false" ht="12.75" hidden="false" customHeight="true" outlineLevel="0" collapsed="false"/>
    <row r="64267" customFormat="false" ht="12.75" hidden="false" customHeight="true" outlineLevel="0" collapsed="false"/>
    <row r="64268" customFormat="false" ht="12.75" hidden="false" customHeight="true" outlineLevel="0" collapsed="false"/>
    <row r="64269" customFormat="false" ht="12.75" hidden="false" customHeight="true" outlineLevel="0" collapsed="false"/>
    <row r="64270" customFormat="false" ht="12.75" hidden="false" customHeight="true" outlineLevel="0" collapsed="false"/>
    <row r="64271" customFormat="false" ht="12.75" hidden="false" customHeight="true" outlineLevel="0" collapsed="false"/>
    <row r="64272" customFormat="false" ht="12.75" hidden="false" customHeight="true" outlineLevel="0" collapsed="false"/>
    <row r="64273" customFormat="false" ht="12.75" hidden="false" customHeight="true" outlineLevel="0" collapsed="false"/>
    <row r="64274" customFormat="false" ht="12.75" hidden="false" customHeight="true" outlineLevel="0" collapsed="false"/>
    <row r="64275" customFormat="false" ht="12.75" hidden="false" customHeight="true" outlineLevel="0" collapsed="false"/>
    <row r="64276" customFormat="false" ht="12.75" hidden="false" customHeight="true" outlineLevel="0" collapsed="false"/>
    <row r="64277" customFormat="false" ht="12.75" hidden="false" customHeight="true" outlineLevel="0" collapsed="false"/>
    <row r="64278" customFormat="false" ht="12.75" hidden="false" customHeight="true" outlineLevel="0" collapsed="false"/>
    <row r="64279" customFormat="false" ht="12.75" hidden="false" customHeight="true" outlineLevel="0" collapsed="false"/>
    <row r="64280" customFormat="false" ht="12.75" hidden="false" customHeight="true" outlineLevel="0" collapsed="false"/>
    <row r="64281" customFormat="false" ht="12.75" hidden="false" customHeight="true" outlineLevel="0" collapsed="false"/>
    <row r="64282" customFormat="false" ht="12.75" hidden="false" customHeight="true" outlineLevel="0" collapsed="false"/>
    <row r="64283" customFormat="false" ht="12.75" hidden="false" customHeight="true" outlineLevel="0" collapsed="false"/>
    <row r="64284" customFormat="false" ht="12.75" hidden="false" customHeight="true" outlineLevel="0" collapsed="false"/>
    <row r="64285" customFormat="false" ht="12.75" hidden="false" customHeight="true" outlineLevel="0" collapsed="false"/>
    <row r="64286" customFormat="false" ht="12.75" hidden="false" customHeight="true" outlineLevel="0" collapsed="false"/>
    <row r="64287" customFormat="false" ht="12.75" hidden="false" customHeight="true" outlineLevel="0" collapsed="false"/>
    <row r="64288" customFormat="false" ht="12.75" hidden="false" customHeight="true" outlineLevel="0" collapsed="false"/>
    <row r="64289" customFormat="false" ht="12.75" hidden="false" customHeight="true" outlineLevel="0" collapsed="false"/>
    <row r="64290" customFormat="false" ht="12.75" hidden="false" customHeight="true" outlineLevel="0" collapsed="false"/>
    <row r="64291" customFormat="false" ht="12.75" hidden="false" customHeight="true" outlineLevel="0" collapsed="false"/>
    <row r="64292" customFormat="false" ht="12.75" hidden="false" customHeight="true" outlineLevel="0" collapsed="false"/>
    <row r="64293" customFormat="false" ht="12.75" hidden="false" customHeight="true" outlineLevel="0" collapsed="false"/>
    <row r="64294" customFormat="false" ht="12.75" hidden="false" customHeight="true" outlineLevel="0" collapsed="false"/>
    <row r="64295" customFormat="false" ht="12.75" hidden="false" customHeight="true" outlineLevel="0" collapsed="false"/>
    <row r="64296" customFormat="false" ht="12.75" hidden="false" customHeight="true" outlineLevel="0" collapsed="false"/>
    <row r="64297" customFormat="false" ht="12.75" hidden="false" customHeight="true" outlineLevel="0" collapsed="false"/>
    <row r="64298" customFormat="false" ht="12.75" hidden="false" customHeight="true" outlineLevel="0" collapsed="false"/>
    <row r="64299" customFormat="false" ht="12.75" hidden="false" customHeight="true" outlineLevel="0" collapsed="false"/>
    <row r="64300" customFormat="false" ht="12.75" hidden="false" customHeight="true" outlineLevel="0" collapsed="false"/>
    <row r="64301" customFormat="false" ht="12.75" hidden="false" customHeight="true" outlineLevel="0" collapsed="false"/>
    <row r="64302" customFormat="false" ht="12.75" hidden="false" customHeight="true" outlineLevel="0" collapsed="false"/>
    <row r="64303" customFormat="false" ht="12.75" hidden="false" customHeight="true" outlineLevel="0" collapsed="false"/>
    <row r="64304" customFormat="false" ht="12.75" hidden="false" customHeight="true" outlineLevel="0" collapsed="false"/>
    <row r="64305" customFormat="false" ht="12.75" hidden="false" customHeight="true" outlineLevel="0" collapsed="false"/>
    <row r="64306" customFormat="false" ht="12.75" hidden="false" customHeight="true" outlineLevel="0" collapsed="false"/>
    <row r="64307" customFormat="false" ht="12.75" hidden="false" customHeight="true" outlineLevel="0" collapsed="false"/>
    <row r="64308" customFormat="false" ht="12.75" hidden="false" customHeight="true" outlineLevel="0" collapsed="false"/>
    <row r="64309" customFormat="false" ht="12.75" hidden="false" customHeight="true" outlineLevel="0" collapsed="false"/>
    <row r="64310" customFormat="false" ht="12.75" hidden="false" customHeight="true" outlineLevel="0" collapsed="false"/>
    <row r="64311" customFormat="false" ht="12.75" hidden="false" customHeight="true" outlineLevel="0" collapsed="false"/>
    <row r="64312" customFormat="false" ht="12.75" hidden="false" customHeight="true" outlineLevel="0" collapsed="false"/>
    <row r="64313" customFormat="false" ht="12.75" hidden="false" customHeight="true" outlineLevel="0" collapsed="false"/>
    <row r="64314" customFormat="false" ht="12.75" hidden="false" customHeight="true" outlineLevel="0" collapsed="false"/>
    <row r="64315" customFormat="false" ht="12.75" hidden="false" customHeight="true" outlineLevel="0" collapsed="false"/>
    <row r="64316" customFormat="false" ht="12.75" hidden="false" customHeight="true" outlineLevel="0" collapsed="false"/>
    <row r="64317" customFormat="false" ht="12.75" hidden="false" customHeight="true" outlineLevel="0" collapsed="false"/>
    <row r="64318" customFormat="false" ht="12.75" hidden="false" customHeight="true" outlineLevel="0" collapsed="false"/>
    <row r="64319" customFormat="false" ht="12.75" hidden="false" customHeight="true" outlineLevel="0" collapsed="false"/>
    <row r="64320" customFormat="false" ht="12.75" hidden="false" customHeight="true" outlineLevel="0" collapsed="false"/>
    <row r="64321" customFormat="false" ht="12.75" hidden="false" customHeight="true" outlineLevel="0" collapsed="false"/>
    <row r="64322" customFormat="false" ht="12.75" hidden="false" customHeight="true" outlineLevel="0" collapsed="false"/>
    <row r="64323" customFormat="false" ht="12.75" hidden="false" customHeight="true" outlineLevel="0" collapsed="false"/>
    <row r="64324" customFormat="false" ht="12.75" hidden="false" customHeight="true" outlineLevel="0" collapsed="false"/>
    <row r="64325" customFormat="false" ht="12.75" hidden="false" customHeight="true" outlineLevel="0" collapsed="false"/>
    <row r="64326" customFormat="false" ht="12.75" hidden="false" customHeight="true" outlineLevel="0" collapsed="false"/>
    <row r="64327" customFormat="false" ht="12.75" hidden="false" customHeight="true" outlineLevel="0" collapsed="false"/>
    <row r="64328" customFormat="false" ht="12.75" hidden="false" customHeight="true" outlineLevel="0" collapsed="false"/>
    <row r="64329" customFormat="false" ht="12.75" hidden="false" customHeight="true" outlineLevel="0" collapsed="false"/>
    <row r="64330" customFormat="false" ht="12.75" hidden="false" customHeight="true" outlineLevel="0" collapsed="false"/>
    <row r="64331" customFormat="false" ht="12.75" hidden="false" customHeight="true" outlineLevel="0" collapsed="false"/>
    <row r="64332" customFormat="false" ht="12.75" hidden="false" customHeight="true" outlineLevel="0" collapsed="false"/>
    <row r="64333" customFormat="false" ht="12.75" hidden="false" customHeight="true" outlineLevel="0" collapsed="false"/>
    <row r="64334" customFormat="false" ht="12.75" hidden="false" customHeight="true" outlineLevel="0" collapsed="false"/>
    <row r="64335" customFormat="false" ht="12.75" hidden="false" customHeight="true" outlineLevel="0" collapsed="false"/>
    <row r="64336" customFormat="false" ht="12.75" hidden="false" customHeight="true" outlineLevel="0" collapsed="false"/>
    <row r="64337" customFormat="false" ht="12.75" hidden="false" customHeight="true" outlineLevel="0" collapsed="false"/>
    <row r="64338" customFormat="false" ht="12.75" hidden="false" customHeight="true" outlineLevel="0" collapsed="false"/>
    <row r="64339" customFormat="false" ht="12.75" hidden="false" customHeight="true" outlineLevel="0" collapsed="false"/>
    <row r="64340" customFormat="false" ht="12.75" hidden="false" customHeight="true" outlineLevel="0" collapsed="false"/>
    <row r="64341" customFormat="false" ht="12.75" hidden="false" customHeight="true" outlineLevel="0" collapsed="false"/>
    <row r="64342" customFormat="false" ht="12.75" hidden="false" customHeight="true" outlineLevel="0" collapsed="false"/>
    <row r="64343" customFormat="false" ht="12.75" hidden="false" customHeight="true" outlineLevel="0" collapsed="false"/>
    <row r="64344" customFormat="false" ht="12.75" hidden="false" customHeight="true" outlineLevel="0" collapsed="false"/>
    <row r="64345" customFormat="false" ht="12.75" hidden="false" customHeight="true" outlineLevel="0" collapsed="false"/>
    <row r="64346" customFormat="false" ht="12.75" hidden="false" customHeight="true" outlineLevel="0" collapsed="false"/>
    <row r="64347" customFormat="false" ht="12.75" hidden="false" customHeight="true" outlineLevel="0" collapsed="false"/>
    <row r="64348" customFormat="false" ht="12.75" hidden="false" customHeight="true" outlineLevel="0" collapsed="false"/>
    <row r="64349" customFormat="false" ht="12.75" hidden="false" customHeight="true" outlineLevel="0" collapsed="false"/>
    <row r="64350" customFormat="false" ht="12.75" hidden="false" customHeight="true" outlineLevel="0" collapsed="false"/>
    <row r="64351" customFormat="false" ht="12.75" hidden="false" customHeight="true" outlineLevel="0" collapsed="false"/>
    <row r="64352" customFormat="false" ht="12.75" hidden="false" customHeight="true" outlineLevel="0" collapsed="false"/>
    <row r="64353" customFormat="false" ht="12.75" hidden="false" customHeight="true" outlineLevel="0" collapsed="false"/>
    <row r="64354" customFormat="false" ht="12.75" hidden="false" customHeight="true" outlineLevel="0" collapsed="false"/>
    <row r="64355" customFormat="false" ht="12.75" hidden="false" customHeight="true" outlineLevel="0" collapsed="false"/>
    <row r="64356" customFormat="false" ht="12.75" hidden="false" customHeight="true" outlineLevel="0" collapsed="false"/>
    <row r="64357" customFormat="false" ht="12.75" hidden="false" customHeight="true" outlineLevel="0" collapsed="false"/>
    <row r="64358" customFormat="false" ht="12.75" hidden="false" customHeight="true" outlineLevel="0" collapsed="false"/>
    <row r="64359" customFormat="false" ht="12.75" hidden="false" customHeight="true" outlineLevel="0" collapsed="false"/>
    <row r="64360" customFormat="false" ht="12.75" hidden="false" customHeight="true" outlineLevel="0" collapsed="false"/>
    <row r="64361" customFormat="false" ht="12.75" hidden="false" customHeight="true" outlineLevel="0" collapsed="false"/>
    <row r="64362" customFormat="false" ht="12.75" hidden="false" customHeight="true" outlineLevel="0" collapsed="false"/>
    <row r="64363" customFormat="false" ht="12.75" hidden="false" customHeight="true" outlineLevel="0" collapsed="false"/>
    <row r="64364" customFormat="false" ht="12.75" hidden="false" customHeight="true" outlineLevel="0" collapsed="false"/>
    <row r="64365" customFormat="false" ht="12.75" hidden="false" customHeight="true" outlineLevel="0" collapsed="false"/>
    <row r="64366" customFormat="false" ht="12.75" hidden="false" customHeight="true" outlineLevel="0" collapsed="false"/>
    <row r="64367" customFormat="false" ht="12.75" hidden="false" customHeight="true" outlineLevel="0" collapsed="false"/>
    <row r="64368" customFormat="false" ht="12.75" hidden="false" customHeight="true" outlineLevel="0" collapsed="false"/>
    <row r="64369" customFormat="false" ht="12.75" hidden="false" customHeight="true" outlineLevel="0" collapsed="false"/>
    <row r="64370" customFormat="false" ht="12.75" hidden="false" customHeight="true" outlineLevel="0" collapsed="false"/>
    <row r="64371" customFormat="false" ht="12.75" hidden="false" customHeight="true" outlineLevel="0" collapsed="false"/>
    <row r="64372" customFormat="false" ht="12.75" hidden="false" customHeight="true" outlineLevel="0" collapsed="false"/>
    <row r="64373" customFormat="false" ht="12.75" hidden="false" customHeight="true" outlineLevel="0" collapsed="false"/>
    <row r="64374" customFormat="false" ht="12.75" hidden="false" customHeight="true" outlineLevel="0" collapsed="false"/>
    <row r="64375" customFormat="false" ht="12.75" hidden="false" customHeight="true" outlineLevel="0" collapsed="false"/>
    <row r="64376" customFormat="false" ht="12.75" hidden="false" customHeight="true" outlineLevel="0" collapsed="false"/>
    <row r="64377" customFormat="false" ht="12.75" hidden="false" customHeight="true" outlineLevel="0" collapsed="false"/>
    <row r="64378" customFormat="false" ht="12.75" hidden="false" customHeight="true" outlineLevel="0" collapsed="false"/>
    <row r="64379" customFormat="false" ht="12.75" hidden="false" customHeight="true" outlineLevel="0" collapsed="false"/>
    <row r="64380" customFormat="false" ht="12.75" hidden="false" customHeight="true" outlineLevel="0" collapsed="false"/>
    <row r="64381" customFormat="false" ht="12.75" hidden="false" customHeight="true" outlineLevel="0" collapsed="false"/>
    <row r="64382" customFormat="false" ht="12.75" hidden="false" customHeight="true" outlineLevel="0" collapsed="false"/>
    <row r="64383" customFormat="false" ht="12.75" hidden="false" customHeight="true" outlineLevel="0" collapsed="false"/>
    <row r="64384" customFormat="false" ht="12.75" hidden="false" customHeight="true" outlineLevel="0" collapsed="false"/>
    <row r="64385" customFormat="false" ht="12.75" hidden="false" customHeight="true" outlineLevel="0" collapsed="false"/>
    <row r="64386" customFormat="false" ht="12.75" hidden="false" customHeight="true" outlineLevel="0" collapsed="false"/>
    <row r="64387" customFormat="false" ht="12.75" hidden="false" customHeight="true" outlineLevel="0" collapsed="false"/>
    <row r="64388" customFormat="false" ht="12.75" hidden="false" customHeight="true" outlineLevel="0" collapsed="false"/>
    <row r="64389" customFormat="false" ht="12.75" hidden="false" customHeight="true" outlineLevel="0" collapsed="false"/>
    <row r="64390" customFormat="false" ht="12.75" hidden="false" customHeight="true" outlineLevel="0" collapsed="false"/>
    <row r="64391" customFormat="false" ht="12.75" hidden="false" customHeight="true" outlineLevel="0" collapsed="false"/>
    <row r="64392" customFormat="false" ht="12.75" hidden="false" customHeight="true" outlineLevel="0" collapsed="false"/>
    <row r="64393" customFormat="false" ht="12.75" hidden="false" customHeight="true" outlineLevel="0" collapsed="false"/>
    <row r="64394" customFormat="false" ht="12.75" hidden="false" customHeight="true" outlineLevel="0" collapsed="false"/>
    <row r="64395" customFormat="false" ht="12.75" hidden="false" customHeight="true" outlineLevel="0" collapsed="false"/>
    <row r="64396" customFormat="false" ht="12.75" hidden="false" customHeight="true" outlineLevel="0" collapsed="false"/>
    <row r="64397" customFormat="false" ht="12.75" hidden="false" customHeight="true" outlineLevel="0" collapsed="false"/>
    <row r="64398" customFormat="false" ht="12.75" hidden="false" customHeight="true" outlineLevel="0" collapsed="false"/>
    <row r="64399" customFormat="false" ht="12.75" hidden="false" customHeight="true" outlineLevel="0" collapsed="false"/>
    <row r="64400" customFormat="false" ht="12.75" hidden="false" customHeight="true" outlineLevel="0" collapsed="false"/>
    <row r="64401" customFormat="false" ht="12.75" hidden="false" customHeight="true" outlineLevel="0" collapsed="false"/>
    <row r="64402" customFormat="false" ht="12.75" hidden="false" customHeight="true" outlineLevel="0" collapsed="false"/>
    <row r="64403" customFormat="false" ht="12.75" hidden="false" customHeight="true" outlineLevel="0" collapsed="false"/>
    <row r="64404" customFormat="false" ht="12.75" hidden="false" customHeight="true" outlineLevel="0" collapsed="false"/>
    <row r="64405" customFormat="false" ht="12.75" hidden="false" customHeight="true" outlineLevel="0" collapsed="false"/>
    <row r="64406" customFormat="false" ht="12.75" hidden="false" customHeight="true" outlineLevel="0" collapsed="false"/>
    <row r="64407" customFormat="false" ht="12.75" hidden="false" customHeight="true" outlineLevel="0" collapsed="false"/>
    <row r="64408" customFormat="false" ht="12.75" hidden="false" customHeight="true" outlineLevel="0" collapsed="false"/>
    <row r="64409" customFormat="false" ht="12.75" hidden="false" customHeight="true" outlineLevel="0" collapsed="false"/>
    <row r="64410" customFormat="false" ht="12.75" hidden="false" customHeight="true" outlineLevel="0" collapsed="false"/>
    <row r="64411" customFormat="false" ht="12.75" hidden="false" customHeight="true" outlineLevel="0" collapsed="false"/>
    <row r="64412" customFormat="false" ht="12.75" hidden="false" customHeight="true" outlineLevel="0" collapsed="false"/>
    <row r="64413" customFormat="false" ht="12.75" hidden="false" customHeight="true" outlineLevel="0" collapsed="false"/>
    <row r="64414" customFormat="false" ht="12.75" hidden="false" customHeight="true" outlineLevel="0" collapsed="false"/>
    <row r="64415" customFormat="false" ht="12.75" hidden="false" customHeight="true" outlineLevel="0" collapsed="false"/>
    <row r="64416" customFormat="false" ht="12.75" hidden="false" customHeight="true" outlineLevel="0" collapsed="false"/>
    <row r="64417" customFormat="false" ht="12.75" hidden="false" customHeight="true" outlineLevel="0" collapsed="false"/>
    <row r="64418" customFormat="false" ht="12.75" hidden="false" customHeight="true" outlineLevel="0" collapsed="false"/>
    <row r="64419" customFormat="false" ht="12.75" hidden="false" customHeight="true" outlineLevel="0" collapsed="false"/>
    <row r="64420" customFormat="false" ht="12.75" hidden="false" customHeight="true" outlineLevel="0" collapsed="false"/>
    <row r="64421" customFormat="false" ht="12.75" hidden="false" customHeight="true" outlineLevel="0" collapsed="false"/>
    <row r="64422" customFormat="false" ht="12.75" hidden="false" customHeight="true" outlineLevel="0" collapsed="false"/>
    <row r="64423" customFormat="false" ht="12.75" hidden="false" customHeight="true" outlineLevel="0" collapsed="false"/>
    <row r="64424" customFormat="false" ht="12.75" hidden="false" customHeight="true" outlineLevel="0" collapsed="false"/>
    <row r="64425" customFormat="false" ht="12.75" hidden="false" customHeight="true" outlineLevel="0" collapsed="false"/>
    <row r="64426" customFormat="false" ht="12.75" hidden="false" customHeight="true" outlineLevel="0" collapsed="false"/>
    <row r="64427" customFormat="false" ht="12.75" hidden="false" customHeight="true" outlineLevel="0" collapsed="false"/>
    <row r="64428" customFormat="false" ht="12.75" hidden="false" customHeight="true" outlineLevel="0" collapsed="false"/>
    <row r="64429" customFormat="false" ht="12.75" hidden="false" customHeight="true" outlineLevel="0" collapsed="false"/>
    <row r="64430" customFormat="false" ht="12.75" hidden="false" customHeight="true" outlineLevel="0" collapsed="false"/>
    <row r="64431" customFormat="false" ht="12.75" hidden="false" customHeight="true" outlineLevel="0" collapsed="false"/>
    <row r="64432" customFormat="false" ht="12.75" hidden="false" customHeight="true" outlineLevel="0" collapsed="false"/>
    <row r="64433" customFormat="false" ht="12.75" hidden="false" customHeight="true" outlineLevel="0" collapsed="false"/>
    <row r="64434" customFormat="false" ht="12.75" hidden="false" customHeight="true" outlineLevel="0" collapsed="false"/>
    <row r="64435" customFormat="false" ht="12.75" hidden="false" customHeight="true" outlineLevel="0" collapsed="false"/>
    <row r="64436" customFormat="false" ht="12.75" hidden="false" customHeight="true" outlineLevel="0" collapsed="false"/>
    <row r="64437" customFormat="false" ht="12.75" hidden="false" customHeight="true" outlineLevel="0" collapsed="false"/>
    <row r="64438" customFormat="false" ht="12.75" hidden="false" customHeight="true" outlineLevel="0" collapsed="false"/>
    <row r="64439" customFormat="false" ht="12.75" hidden="false" customHeight="true" outlineLevel="0" collapsed="false"/>
    <row r="64440" customFormat="false" ht="12.75" hidden="false" customHeight="true" outlineLevel="0" collapsed="false"/>
    <row r="64441" customFormat="false" ht="12.75" hidden="false" customHeight="true" outlineLevel="0" collapsed="false"/>
    <row r="64442" customFormat="false" ht="12.75" hidden="false" customHeight="true" outlineLevel="0" collapsed="false"/>
    <row r="64443" customFormat="false" ht="12.75" hidden="false" customHeight="true" outlineLevel="0" collapsed="false"/>
    <row r="64444" customFormat="false" ht="12.75" hidden="false" customHeight="true" outlineLevel="0" collapsed="false"/>
    <row r="64445" customFormat="false" ht="12.75" hidden="false" customHeight="true" outlineLevel="0" collapsed="false"/>
    <row r="64446" customFormat="false" ht="12.75" hidden="false" customHeight="true" outlineLevel="0" collapsed="false"/>
    <row r="64447" customFormat="false" ht="12.75" hidden="false" customHeight="true" outlineLevel="0" collapsed="false"/>
    <row r="64448" customFormat="false" ht="12.75" hidden="false" customHeight="true" outlineLevel="0" collapsed="false"/>
    <row r="64449" customFormat="false" ht="12.75" hidden="false" customHeight="true" outlineLevel="0" collapsed="false"/>
    <row r="64450" customFormat="false" ht="12.75" hidden="false" customHeight="true" outlineLevel="0" collapsed="false"/>
    <row r="64451" customFormat="false" ht="12.75" hidden="false" customHeight="true" outlineLevel="0" collapsed="false"/>
    <row r="64452" customFormat="false" ht="12.75" hidden="false" customHeight="true" outlineLevel="0" collapsed="false"/>
    <row r="64453" customFormat="false" ht="12.75" hidden="false" customHeight="true" outlineLevel="0" collapsed="false"/>
    <row r="64454" customFormat="false" ht="12.75" hidden="false" customHeight="true" outlineLevel="0" collapsed="false"/>
    <row r="64455" customFormat="false" ht="12.75" hidden="false" customHeight="true" outlineLevel="0" collapsed="false"/>
    <row r="64456" customFormat="false" ht="12.75" hidden="false" customHeight="true" outlineLevel="0" collapsed="false"/>
    <row r="64457" customFormat="false" ht="12.75" hidden="false" customHeight="true" outlineLevel="0" collapsed="false"/>
    <row r="64458" customFormat="false" ht="12.75" hidden="false" customHeight="true" outlineLevel="0" collapsed="false"/>
    <row r="64459" customFormat="false" ht="12.75" hidden="false" customHeight="true" outlineLevel="0" collapsed="false"/>
    <row r="64460" customFormat="false" ht="12.75" hidden="false" customHeight="true" outlineLevel="0" collapsed="false"/>
    <row r="64461" customFormat="false" ht="12.75" hidden="false" customHeight="true" outlineLevel="0" collapsed="false"/>
    <row r="64462" customFormat="false" ht="12.75" hidden="false" customHeight="true" outlineLevel="0" collapsed="false"/>
    <row r="64463" customFormat="false" ht="12.75" hidden="false" customHeight="true" outlineLevel="0" collapsed="false"/>
    <row r="64464" customFormat="false" ht="12.75" hidden="false" customHeight="true" outlineLevel="0" collapsed="false"/>
    <row r="64465" customFormat="false" ht="12.75" hidden="false" customHeight="true" outlineLevel="0" collapsed="false"/>
    <row r="64466" customFormat="false" ht="12.75" hidden="false" customHeight="true" outlineLevel="0" collapsed="false"/>
    <row r="64467" customFormat="false" ht="12.75" hidden="false" customHeight="true" outlineLevel="0" collapsed="false"/>
    <row r="64468" customFormat="false" ht="12.75" hidden="false" customHeight="true" outlineLevel="0" collapsed="false"/>
    <row r="64469" customFormat="false" ht="12.75" hidden="false" customHeight="true" outlineLevel="0" collapsed="false"/>
    <row r="64470" customFormat="false" ht="12.75" hidden="false" customHeight="true" outlineLevel="0" collapsed="false"/>
    <row r="64471" customFormat="false" ht="12.75" hidden="false" customHeight="true" outlineLevel="0" collapsed="false"/>
    <row r="64472" customFormat="false" ht="12.75" hidden="false" customHeight="true" outlineLevel="0" collapsed="false"/>
    <row r="64473" customFormat="false" ht="12.75" hidden="false" customHeight="true" outlineLevel="0" collapsed="false"/>
    <row r="64474" customFormat="false" ht="12.75" hidden="false" customHeight="true" outlineLevel="0" collapsed="false"/>
    <row r="64475" customFormat="false" ht="12.75" hidden="false" customHeight="true" outlineLevel="0" collapsed="false"/>
    <row r="64476" customFormat="false" ht="12.75" hidden="false" customHeight="true" outlineLevel="0" collapsed="false"/>
    <row r="64477" customFormat="false" ht="12.75" hidden="false" customHeight="true" outlineLevel="0" collapsed="false"/>
    <row r="64478" customFormat="false" ht="12.75" hidden="false" customHeight="true" outlineLevel="0" collapsed="false"/>
    <row r="64479" customFormat="false" ht="12.75" hidden="false" customHeight="true" outlineLevel="0" collapsed="false"/>
    <row r="64480" customFormat="false" ht="12.75" hidden="false" customHeight="true" outlineLevel="0" collapsed="false"/>
    <row r="64481" customFormat="false" ht="12.75" hidden="false" customHeight="true" outlineLevel="0" collapsed="false"/>
    <row r="64482" customFormat="false" ht="12.75" hidden="false" customHeight="true" outlineLevel="0" collapsed="false"/>
    <row r="64483" customFormat="false" ht="12.75" hidden="false" customHeight="true" outlineLevel="0" collapsed="false"/>
    <row r="64484" customFormat="false" ht="12.75" hidden="false" customHeight="true" outlineLevel="0" collapsed="false"/>
    <row r="64485" customFormat="false" ht="12.75" hidden="false" customHeight="true" outlineLevel="0" collapsed="false"/>
    <row r="64486" customFormat="false" ht="12.75" hidden="false" customHeight="true" outlineLevel="0" collapsed="false"/>
    <row r="64487" customFormat="false" ht="12.75" hidden="false" customHeight="true" outlineLevel="0" collapsed="false"/>
    <row r="64488" customFormat="false" ht="12.75" hidden="false" customHeight="true" outlineLevel="0" collapsed="false"/>
    <row r="64489" customFormat="false" ht="12.75" hidden="false" customHeight="true" outlineLevel="0" collapsed="false"/>
    <row r="64490" customFormat="false" ht="12.75" hidden="false" customHeight="true" outlineLevel="0" collapsed="false"/>
    <row r="64491" customFormat="false" ht="12.75" hidden="false" customHeight="true" outlineLevel="0" collapsed="false"/>
    <row r="64492" customFormat="false" ht="12.75" hidden="false" customHeight="true" outlineLevel="0" collapsed="false"/>
    <row r="64493" customFormat="false" ht="12.75" hidden="false" customHeight="true" outlineLevel="0" collapsed="false"/>
    <row r="64494" customFormat="false" ht="12.75" hidden="false" customHeight="true" outlineLevel="0" collapsed="false"/>
    <row r="64495" customFormat="false" ht="12.75" hidden="false" customHeight="true" outlineLevel="0" collapsed="false"/>
    <row r="64496" customFormat="false" ht="12.75" hidden="false" customHeight="true" outlineLevel="0" collapsed="false"/>
    <row r="64497" customFormat="false" ht="12.75" hidden="false" customHeight="true" outlineLevel="0" collapsed="false"/>
    <row r="64498" customFormat="false" ht="12.75" hidden="false" customHeight="true" outlineLevel="0" collapsed="false"/>
    <row r="64499" customFormat="false" ht="12.75" hidden="false" customHeight="true" outlineLevel="0" collapsed="false"/>
    <row r="64500" customFormat="false" ht="12.75" hidden="false" customHeight="true" outlineLevel="0" collapsed="false"/>
    <row r="64501" customFormat="false" ht="12.75" hidden="false" customHeight="true" outlineLevel="0" collapsed="false"/>
    <row r="64502" customFormat="false" ht="12.75" hidden="false" customHeight="true" outlineLevel="0" collapsed="false"/>
    <row r="64503" customFormat="false" ht="12.75" hidden="false" customHeight="true" outlineLevel="0" collapsed="false"/>
    <row r="64504" customFormat="false" ht="12.75" hidden="false" customHeight="true" outlineLevel="0" collapsed="false"/>
    <row r="64505" customFormat="false" ht="12.75" hidden="false" customHeight="true" outlineLevel="0" collapsed="false"/>
    <row r="64506" customFormat="false" ht="12.75" hidden="false" customHeight="true" outlineLevel="0" collapsed="false"/>
    <row r="64507" customFormat="false" ht="12.75" hidden="false" customHeight="true" outlineLevel="0" collapsed="false"/>
    <row r="64508" customFormat="false" ht="12.75" hidden="false" customHeight="true" outlineLevel="0" collapsed="false"/>
    <row r="64509" customFormat="false" ht="12.75" hidden="false" customHeight="true" outlineLevel="0" collapsed="false"/>
    <row r="64510" customFormat="false" ht="12.75" hidden="false" customHeight="true" outlineLevel="0" collapsed="false"/>
    <row r="64511" customFormat="false" ht="12.75" hidden="false" customHeight="true" outlineLevel="0" collapsed="false"/>
    <row r="64512" customFormat="false" ht="12.75" hidden="false" customHeight="true" outlineLevel="0" collapsed="false"/>
    <row r="64513" customFormat="false" ht="12.75" hidden="false" customHeight="true" outlineLevel="0" collapsed="false"/>
    <row r="64514" customFormat="false" ht="12.75" hidden="false" customHeight="true" outlineLevel="0" collapsed="false"/>
    <row r="64515" customFormat="false" ht="12.75" hidden="false" customHeight="true" outlineLevel="0" collapsed="false"/>
    <row r="64516" customFormat="false" ht="12.75" hidden="false" customHeight="true" outlineLevel="0" collapsed="false"/>
    <row r="64517" customFormat="false" ht="12.75" hidden="false" customHeight="true" outlineLevel="0" collapsed="false"/>
    <row r="64518" customFormat="false" ht="12.75" hidden="false" customHeight="true" outlineLevel="0" collapsed="false"/>
    <row r="64519" customFormat="false" ht="12.75" hidden="false" customHeight="true" outlineLevel="0" collapsed="false"/>
    <row r="64520" customFormat="false" ht="12.75" hidden="false" customHeight="true" outlineLevel="0" collapsed="false"/>
    <row r="64521" customFormat="false" ht="12.75" hidden="false" customHeight="true" outlineLevel="0" collapsed="false"/>
    <row r="64522" customFormat="false" ht="12.75" hidden="false" customHeight="true" outlineLevel="0" collapsed="false"/>
    <row r="64523" customFormat="false" ht="12.75" hidden="false" customHeight="true" outlineLevel="0" collapsed="false"/>
    <row r="64524" customFormat="false" ht="12.75" hidden="false" customHeight="true" outlineLevel="0" collapsed="false"/>
    <row r="64525" customFormat="false" ht="12.75" hidden="false" customHeight="true" outlineLevel="0" collapsed="false"/>
    <row r="64526" customFormat="false" ht="12.75" hidden="false" customHeight="true" outlineLevel="0" collapsed="false"/>
    <row r="64527" customFormat="false" ht="12.75" hidden="false" customHeight="true" outlineLevel="0" collapsed="false"/>
    <row r="64528" customFormat="false" ht="12.75" hidden="false" customHeight="true" outlineLevel="0" collapsed="false"/>
    <row r="64529" customFormat="false" ht="12.75" hidden="false" customHeight="true" outlineLevel="0" collapsed="false"/>
    <row r="64530" customFormat="false" ht="12.75" hidden="false" customHeight="true" outlineLevel="0" collapsed="false"/>
    <row r="64531" customFormat="false" ht="12.75" hidden="false" customHeight="true" outlineLevel="0" collapsed="false"/>
    <row r="64532" customFormat="false" ht="12.75" hidden="false" customHeight="true" outlineLevel="0" collapsed="false"/>
    <row r="64533" customFormat="false" ht="12.75" hidden="false" customHeight="true" outlineLevel="0" collapsed="false"/>
    <row r="64534" customFormat="false" ht="12.75" hidden="false" customHeight="true" outlineLevel="0" collapsed="false"/>
    <row r="64535" customFormat="false" ht="12.75" hidden="false" customHeight="true" outlineLevel="0" collapsed="false"/>
    <row r="64536" customFormat="false" ht="12.75" hidden="false" customHeight="true" outlineLevel="0" collapsed="false"/>
    <row r="64537" customFormat="false" ht="12.75" hidden="false" customHeight="true" outlineLevel="0" collapsed="false"/>
    <row r="64538" customFormat="false" ht="12.75" hidden="false" customHeight="true" outlineLevel="0" collapsed="false"/>
    <row r="64539" customFormat="false" ht="12.75" hidden="false" customHeight="true" outlineLevel="0" collapsed="false"/>
    <row r="64540" customFormat="false" ht="12.75" hidden="false" customHeight="true" outlineLevel="0" collapsed="false"/>
    <row r="64541" customFormat="false" ht="12.75" hidden="false" customHeight="true" outlineLevel="0" collapsed="false"/>
    <row r="64542" customFormat="false" ht="12.75" hidden="false" customHeight="true" outlineLevel="0" collapsed="false"/>
    <row r="64543" customFormat="false" ht="12.75" hidden="false" customHeight="true" outlineLevel="0" collapsed="false"/>
    <row r="64544" customFormat="false" ht="12.75" hidden="false" customHeight="true" outlineLevel="0" collapsed="false"/>
    <row r="64545" customFormat="false" ht="12.75" hidden="false" customHeight="true" outlineLevel="0" collapsed="false"/>
    <row r="64546" customFormat="false" ht="12.75" hidden="false" customHeight="true" outlineLevel="0" collapsed="false"/>
    <row r="64547" customFormat="false" ht="12.75" hidden="false" customHeight="true" outlineLevel="0" collapsed="false"/>
    <row r="64548" customFormat="false" ht="12.75" hidden="false" customHeight="true" outlineLevel="0" collapsed="false"/>
    <row r="64549" customFormat="false" ht="12.75" hidden="false" customHeight="true" outlineLevel="0" collapsed="false"/>
    <row r="64550" customFormat="false" ht="12.75" hidden="false" customHeight="true" outlineLevel="0" collapsed="false"/>
    <row r="64551" customFormat="false" ht="12.75" hidden="false" customHeight="true" outlineLevel="0" collapsed="false"/>
    <row r="64552" customFormat="false" ht="12.75" hidden="false" customHeight="true" outlineLevel="0" collapsed="false"/>
    <row r="64553" customFormat="false" ht="12.75" hidden="false" customHeight="true" outlineLevel="0" collapsed="false"/>
    <row r="64554" customFormat="false" ht="12.75" hidden="false" customHeight="true" outlineLevel="0" collapsed="false"/>
    <row r="64555" customFormat="false" ht="12.75" hidden="false" customHeight="true" outlineLevel="0" collapsed="false"/>
    <row r="64556" customFormat="false" ht="12.75" hidden="false" customHeight="true" outlineLevel="0" collapsed="false"/>
    <row r="64557" customFormat="false" ht="12.75" hidden="false" customHeight="true" outlineLevel="0" collapsed="false"/>
    <row r="64558" customFormat="false" ht="12.75" hidden="false" customHeight="true" outlineLevel="0" collapsed="false"/>
    <row r="64559" customFormat="false" ht="12.75" hidden="false" customHeight="true" outlineLevel="0" collapsed="false"/>
    <row r="64560" customFormat="false" ht="12.75" hidden="false" customHeight="true" outlineLevel="0" collapsed="false"/>
    <row r="64561" customFormat="false" ht="12.75" hidden="false" customHeight="true" outlineLevel="0" collapsed="false"/>
    <row r="64562" customFormat="false" ht="12.75" hidden="false" customHeight="true" outlineLevel="0" collapsed="false"/>
    <row r="64563" customFormat="false" ht="12.75" hidden="false" customHeight="true" outlineLevel="0" collapsed="false"/>
    <row r="64564" customFormat="false" ht="12.75" hidden="false" customHeight="true" outlineLevel="0" collapsed="false"/>
    <row r="64565" customFormat="false" ht="12.75" hidden="false" customHeight="true" outlineLevel="0" collapsed="false"/>
    <row r="64566" customFormat="false" ht="12.75" hidden="false" customHeight="true" outlineLevel="0" collapsed="false"/>
    <row r="64567" customFormat="false" ht="12.75" hidden="false" customHeight="true" outlineLevel="0" collapsed="false"/>
    <row r="64568" customFormat="false" ht="12.75" hidden="false" customHeight="true" outlineLevel="0" collapsed="false"/>
    <row r="64569" customFormat="false" ht="12.75" hidden="false" customHeight="true" outlineLevel="0" collapsed="false"/>
    <row r="64570" customFormat="false" ht="12.75" hidden="false" customHeight="true" outlineLevel="0" collapsed="false"/>
    <row r="64571" customFormat="false" ht="12.75" hidden="false" customHeight="true" outlineLevel="0" collapsed="false"/>
    <row r="64572" customFormat="false" ht="12.75" hidden="false" customHeight="true" outlineLevel="0" collapsed="false"/>
    <row r="64573" customFormat="false" ht="12.75" hidden="false" customHeight="true" outlineLevel="0" collapsed="false"/>
    <row r="64574" customFormat="false" ht="12.75" hidden="false" customHeight="true" outlineLevel="0" collapsed="false"/>
    <row r="64575" customFormat="false" ht="12.75" hidden="false" customHeight="true" outlineLevel="0" collapsed="false"/>
    <row r="64576" customFormat="false" ht="12.75" hidden="false" customHeight="true" outlineLevel="0" collapsed="false"/>
    <row r="64577" customFormat="false" ht="12.75" hidden="false" customHeight="true" outlineLevel="0" collapsed="false"/>
    <row r="64578" customFormat="false" ht="12.75" hidden="false" customHeight="true" outlineLevel="0" collapsed="false"/>
    <row r="64579" customFormat="false" ht="12.75" hidden="false" customHeight="true" outlineLevel="0" collapsed="false"/>
    <row r="64580" customFormat="false" ht="12.75" hidden="false" customHeight="true" outlineLevel="0" collapsed="false"/>
    <row r="64581" customFormat="false" ht="12.75" hidden="false" customHeight="true" outlineLevel="0" collapsed="false"/>
    <row r="64582" customFormat="false" ht="12.75" hidden="false" customHeight="true" outlineLevel="0" collapsed="false"/>
    <row r="64583" customFormat="false" ht="12.75" hidden="false" customHeight="true" outlineLevel="0" collapsed="false"/>
    <row r="64584" customFormat="false" ht="12.75" hidden="false" customHeight="true" outlineLevel="0" collapsed="false"/>
    <row r="64585" customFormat="false" ht="12.75" hidden="false" customHeight="true" outlineLevel="0" collapsed="false"/>
    <row r="64586" customFormat="false" ht="12.75" hidden="false" customHeight="true" outlineLevel="0" collapsed="false"/>
    <row r="64587" customFormat="false" ht="12.75" hidden="false" customHeight="true" outlineLevel="0" collapsed="false"/>
    <row r="64588" customFormat="false" ht="12.75" hidden="false" customHeight="true" outlineLevel="0" collapsed="false"/>
    <row r="64589" customFormat="false" ht="12.75" hidden="false" customHeight="true" outlineLevel="0" collapsed="false"/>
    <row r="64590" customFormat="false" ht="12.75" hidden="false" customHeight="true" outlineLevel="0" collapsed="false"/>
    <row r="64591" customFormat="false" ht="12.75" hidden="false" customHeight="true" outlineLevel="0" collapsed="false"/>
    <row r="64592" customFormat="false" ht="12.75" hidden="false" customHeight="true" outlineLevel="0" collapsed="false"/>
    <row r="64593" customFormat="false" ht="12.75" hidden="false" customHeight="true" outlineLevel="0" collapsed="false"/>
    <row r="64594" customFormat="false" ht="12.75" hidden="false" customHeight="true" outlineLevel="0" collapsed="false"/>
    <row r="64595" customFormat="false" ht="12.75" hidden="false" customHeight="true" outlineLevel="0" collapsed="false"/>
    <row r="64596" customFormat="false" ht="12.75" hidden="false" customHeight="true" outlineLevel="0" collapsed="false"/>
    <row r="64597" customFormat="false" ht="12.75" hidden="false" customHeight="true" outlineLevel="0" collapsed="false"/>
    <row r="64598" customFormat="false" ht="12.75" hidden="false" customHeight="true" outlineLevel="0" collapsed="false"/>
    <row r="64599" customFormat="false" ht="12.75" hidden="false" customHeight="true" outlineLevel="0" collapsed="false"/>
    <row r="64600" customFormat="false" ht="12.75" hidden="false" customHeight="true" outlineLevel="0" collapsed="false"/>
    <row r="64601" customFormat="false" ht="12.75" hidden="false" customHeight="true" outlineLevel="0" collapsed="false"/>
    <row r="64602" customFormat="false" ht="12.75" hidden="false" customHeight="true" outlineLevel="0" collapsed="false"/>
    <row r="64603" customFormat="false" ht="12.75" hidden="false" customHeight="true" outlineLevel="0" collapsed="false"/>
    <row r="64604" customFormat="false" ht="12.75" hidden="false" customHeight="true" outlineLevel="0" collapsed="false"/>
    <row r="64605" customFormat="false" ht="12.75" hidden="false" customHeight="true" outlineLevel="0" collapsed="false"/>
    <row r="64606" customFormat="false" ht="12.75" hidden="false" customHeight="true" outlineLevel="0" collapsed="false"/>
    <row r="64607" customFormat="false" ht="12.75" hidden="false" customHeight="true" outlineLevel="0" collapsed="false"/>
    <row r="64608" customFormat="false" ht="12.75" hidden="false" customHeight="true" outlineLevel="0" collapsed="false"/>
    <row r="64609" customFormat="false" ht="12.75" hidden="false" customHeight="true" outlineLevel="0" collapsed="false"/>
    <row r="64610" customFormat="false" ht="12.75" hidden="false" customHeight="true" outlineLevel="0" collapsed="false"/>
    <row r="64611" customFormat="false" ht="12.75" hidden="false" customHeight="true" outlineLevel="0" collapsed="false"/>
    <row r="64612" customFormat="false" ht="12.75" hidden="false" customHeight="true" outlineLevel="0" collapsed="false"/>
    <row r="64613" customFormat="false" ht="12.75" hidden="false" customHeight="true" outlineLevel="0" collapsed="false"/>
    <row r="64614" customFormat="false" ht="12.75" hidden="false" customHeight="true" outlineLevel="0" collapsed="false"/>
    <row r="64615" customFormat="false" ht="12.75" hidden="false" customHeight="true" outlineLevel="0" collapsed="false"/>
    <row r="64616" customFormat="false" ht="12.75" hidden="false" customHeight="true" outlineLevel="0" collapsed="false"/>
    <row r="64617" customFormat="false" ht="12.75" hidden="false" customHeight="true" outlineLevel="0" collapsed="false"/>
    <row r="64618" customFormat="false" ht="12.75" hidden="false" customHeight="true" outlineLevel="0" collapsed="false"/>
    <row r="64619" customFormat="false" ht="12.75" hidden="false" customHeight="true" outlineLevel="0" collapsed="false"/>
    <row r="64620" customFormat="false" ht="12.75" hidden="false" customHeight="true" outlineLevel="0" collapsed="false"/>
    <row r="64621" customFormat="false" ht="12.75" hidden="false" customHeight="true" outlineLevel="0" collapsed="false"/>
    <row r="64622" customFormat="false" ht="12.75" hidden="false" customHeight="true" outlineLevel="0" collapsed="false"/>
    <row r="64623" customFormat="false" ht="12.75" hidden="false" customHeight="true" outlineLevel="0" collapsed="false"/>
    <row r="64624" customFormat="false" ht="12.75" hidden="false" customHeight="true" outlineLevel="0" collapsed="false"/>
    <row r="64625" customFormat="false" ht="12.75" hidden="false" customHeight="true" outlineLevel="0" collapsed="false"/>
    <row r="64626" customFormat="false" ht="12.75" hidden="false" customHeight="true" outlineLevel="0" collapsed="false"/>
    <row r="64627" customFormat="false" ht="12.75" hidden="false" customHeight="true" outlineLevel="0" collapsed="false"/>
    <row r="64628" customFormat="false" ht="12.75" hidden="false" customHeight="true" outlineLevel="0" collapsed="false"/>
    <row r="64629" customFormat="false" ht="12.75" hidden="false" customHeight="true" outlineLevel="0" collapsed="false"/>
    <row r="64630" customFormat="false" ht="12.75" hidden="false" customHeight="true" outlineLevel="0" collapsed="false"/>
    <row r="64631" customFormat="false" ht="12.75" hidden="false" customHeight="true" outlineLevel="0" collapsed="false"/>
    <row r="64632" customFormat="false" ht="12.75" hidden="false" customHeight="true" outlineLevel="0" collapsed="false"/>
    <row r="64633" customFormat="false" ht="12.75" hidden="false" customHeight="true" outlineLevel="0" collapsed="false"/>
    <row r="64634" customFormat="false" ht="12.75" hidden="false" customHeight="true" outlineLevel="0" collapsed="false"/>
    <row r="64635" customFormat="false" ht="12.75" hidden="false" customHeight="true" outlineLevel="0" collapsed="false"/>
    <row r="64636" customFormat="false" ht="12.75" hidden="false" customHeight="true" outlineLevel="0" collapsed="false"/>
    <row r="64637" customFormat="false" ht="12.75" hidden="false" customHeight="true" outlineLevel="0" collapsed="false"/>
    <row r="64638" customFormat="false" ht="12.75" hidden="false" customHeight="true" outlineLevel="0" collapsed="false"/>
    <row r="64639" customFormat="false" ht="12.75" hidden="false" customHeight="true" outlineLevel="0" collapsed="false"/>
    <row r="64640" customFormat="false" ht="12.75" hidden="false" customHeight="true" outlineLevel="0" collapsed="false"/>
    <row r="64641" customFormat="false" ht="12.75" hidden="false" customHeight="true" outlineLevel="0" collapsed="false"/>
    <row r="64642" customFormat="false" ht="12.75" hidden="false" customHeight="true" outlineLevel="0" collapsed="false"/>
    <row r="64643" customFormat="false" ht="12.75" hidden="false" customHeight="true" outlineLevel="0" collapsed="false"/>
    <row r="64644" customFormat="false" ht="12.75" hidden="false" customHeight="true" outlineLevel="0" collapsed="false"/>
    <row r="64645" customFormat="false" ht="12.75" hidden="false" customHeight="true" outlineLevel="0" collapsed="false"/>
    <row r="64646" customFormat="false" ht="12.75" hidden="false" customHeight="true" outlineLevel="0" collapsed="false"/>
    <row r="64647" customFormat="false" ht="12.75" hidden="false" customHeight="true" outlineLevel="0" collapsed="false"/>
    <row r="64648" customFormat="false" ht="12.75" hidden="false" customHeight="true" outlineLevel="0" collapsed="false"/>
    <row r="64649" customFormat="false" ht="12.75" hidden="false" customHeight="true" outlineLevel="0" collapsed="false"/>
    <row r="64650" customFormat="false" ht="12.75" hidden="false" customHeight="true" outlineLevel="0" collapsed="false"/>
    <row r="64651" customFormat="false" ht="12.75" hidden="false" customHeight="true" outlineLevel="0" collapsed="false"/>
    <row r="64652" customFormat="false" ht="12.75" hidden="false" customHeight="true" outlineLevel="0" collapsed="false"/>
    <row r="64653" customFormat="false" ht="12.75" hidden="false" customHeight="true" outlineLevel="0" collapsed="false"/>
    <row r="64654" customFormat="false" ht="12.75" hidden="false" customHeight="true" outlineLevel="0" collapsed="false"/>
    <row r="64655" customFormat="false" ht="12.75" hidden="false" customHeight="true" outlineLevel="0" collapsed="false"/>
    <row r="64656" customFormat="false" ht="12.75" hidden="false" customHeight="true" outlineLevel="0" collapsed="false"/>
    <row r="64657" customFormat="false" ht="12.75" hidden="false" customHeight="true" outlineLevel="0" collapsed="false"/>
    <row r="64658" customFormat="false" ht="12.75" hidden="false" customHeight="true" outlineLevel="0" collapsed="false"/>
    <row r="64659" customFormat="false" ht="12.75" hidden="false" customHeight="true" outlineLevel="0" collapsed="false"/>
    <row r="64660" customFormat="false" ht="12.75" hidden="false" customHeight="true" outlineLevel="0" collapsed="false"/>
    <row r="64661" customFormat="false" ht="12.75" hidden="false" customHeight="true" outlineLevel="0" collapsed="false"/>
    <row r="64662" customFormat="false" ht="12.75" hidden="false" customHeight="true" outlineLevel="0" collapsed="false"/>
    <row r="64663" customFormat="false" ht="12.75" hidden="false" customHeight="true" outlineLevel="0" collapsed="false"/>
    <row r="64664" customFormat="false" ht="12.75" hidden="false" customHeight="true" outlineLevel="0" collapsed="false"/>
    <row r="64665" customFormat="false" ht="12.75" hidden="false" customHeight="true" outlineLevel="0" collapsed="false"/>
    <row r="64666" customFormat="false" ht="12.75" hidden="false" customHeight="true" outlineLevel="0" collapsed="false"/>
    <row r="64667" customFormat="false" ht="12.75" hidden="false" customHeight="true" outlineLevel="0" collapsed="false"/>
    <row r="64668" customFormat="false" ht="12.75" hidden="false" customHeight="true" outlineLevel="0" collapsed="false"/>
    <row r="64669" customFormat="false" ht="12.75" hidden="false" customHeight="true" outlineLevel="0" collapsed="false"/>
    <row r="64670" customFormat="false" ht="12.75" hidden="false" customHeight="true" outlineLevel="0" collapsed="false"/>
    <row r="64671" customFormat="false" ht="12.75" hidden="false" customHeight="true" outlineLevel="0" collapsed="false"/>
    <row r="64672" customFormat="false" ht="12.75" hidden="false" customHeight="true" outlineLevel="0" collapsed="false"/>
    <row r="64673" customFormat="false" ht="12.75" hidden="false" customHeight="true" outlineLevel="0" collapsed="false"/>
    <row r="64674" customFormat="false" ht="12.75" hidden="false" customHeight="true" outlineLevel="0" collapsed="false"/>
    <row r="64675" customFormat="false" ht="12.75" hidden="false" customHeight="true" outlineLevel="0" collapsed="false"/>
    <row r="64676" customFormat="false" ht="12.75" hidden="false" customHeight="true" outlineLevel="0" collapsed="false"/>
    <row r="64677" customFormat="false" ht="12.75" hidden="false" customHeight="true" outlineLevel="0" collapsed="false"/>
    <row r="64678" customFormat="false" ht="12.75" hidden="false" customHeight="true" outlineLevel="0" collapsed="false"/>
    <row r="64679" customFormat="false" ht="12.75" hidden="false" customHeight="true" outlineLevel="0" collapsed="false"/>
    <row r="64680" customFormat="false" ht="12.75" hidden="false" customHeight="true" outlineLevel="0" collapsed="false"/>
    <row r="64681" customFormat="false" ht="12.75" hidden="false" customHeight="true" outlineLevel="0" collapsed="false"/>
    <row r="64682" customFormat="false" ht="12.75" hidden="false" customHeight="true" outlineLevel="0" collapsed="false"/>
    <row r="64683" customFormat="false" ht="12.75" hidden="false" customHeight="true" outlineLevel="0" collapsed="false"/>
    <row r="64684" customFormat="false" ht="12.75" hidden="false" customHeight="true" outlineLevel="0" collapsed="false"/>
    <row r="64685" customFormat="false" ht="12.75" hidden="false" customHeight="true" outlineLevel="0" collapsed="false"/>
    <row r="64686" customFormat="false" ht="12.75" hidden="false" customHeight="true" outlineLevel="0" collapsed="false"/>
    <row r="64687" customFormat="false" ht="12.75" hidden="false" customHeight="true" outlineLevel="0" collapsed="false"/>
    <row r="64688" customFormat="false" ht="12.75" hidden="false" customHeight="true" outlineLevel="0" collapsed="false"/>
    <row r="64689" customFormat="false" ht="12.75" hidden="false" customHeight="true" outlineLevel="0" collapsed="false"/>
    <row r="64690" customFormat="false" ht="12.75" hidden="false" customHeight="true" outlineLevel="0" collapsed="false"/>
    <row r="64691" customFormat="false" ht="12.75" hidden="false" customHeight="true" outlineLevel="0" collapsed="false"/>
    <row r="64692" customFormat="false" ht="12.75" hidden="false" customHeight="true" outlineLevel="0" collapsed="false"/>
    <row r="64693" customFormat="false" ht="12.75" hidden="false" customHeight="true" outlineLevel="0" collapsed="false"/>
    <row r="64694" customFormat="false" ht="12.75" hidden="false" customHeight="true" outlineLevel="0" collapsed="false"/>
    <row r="64695" customFormat="false" ht="12.75" hidden="false" customHeight="true" outlineLevel="0" collapsed="false"/>
    <row r="64696" customFormat="false" ht="12.75" hidden="false" customHeight="true" outlineLevel="0" collapsed="false"/>
    <row r="64697" customFormat="false" ht="12.75" hidden="false" customHeight="true" outlineLevel="0" collapsed="false"/>
    <row r="64698" customFormat="false" ht="12.75" hidden="false" customHeight="true" outlineLevel="0" collapsed="false"/>
    <row r="64699" customFormat="false" ht="12.75" hidden="false" customHeight="true" outlineLevel="0" collapsed="false"/>
    <row r="64700" customFormat="false" ht="12.75" hidden="false" customHeight="true" outlineLevel="0" collapsed="false"/>
    <row r="64701" customFormat="false" ht="12.75" hidden="false" customHeight="true" outlineLevel="0" collapsed="false"/>
    <row r="64702" customFormat="false" ht="12.75" hidden="false" customHeight="true" outlineLevel="0" collapsed="false"/>
    <row r="64703" customFormat="false" ht="12.75" hidden="false" customHeight="true" outlineLevel="0" collapsed="false"/>
    <row r="64704" customFormat="false" ht="12.75" hidden="false" customHeight="true" outlineLevel="0" collapsed="false"/>
    <row r="64705" customFormat="false" ht="12.75" hidden="false" customHeight="true" outlineLevel="0" collapsed="false"/>
    <row r="64706" customFormat="false" ht="12.75" hidden="false" customHeight="true" outlineLevel="0" collapsed="false"/>
    <row r="64707" customFormat="false" ht="12.75" hidden="false" customHeight="true" outlineLevel="0" collapsed="false"/>
    <row r="64708" customFormat="false" ht="12.75" hidden="false" customHeight="true" outlineLevel="0" collapsed="false"/>
    <row r="64709" customFormat="false" ht="12.75" hidden="false" customHeight="true" outlineLevel="0" collapsed="false"/>
    <row r="64710" customFormat="false" ht="12.75" hidden="false" customHeight="true" outlineLevel="0" collapsed="false"/>
    <row r="64711" customFormat="false" ht="12.75" hidden="false" customHeight="true" outlineLevel="0" collapsed="false"/>
    <row r="64712" customFormat="false" ht="12.75" hidden="false" customHeight="true" outlineLevel="0" collapsed="false"/>
    <row r="64713" customFormat="false" ht="12.75" hidden="false" customHeight="true" outlineLevel="0" collapsed="false"/>
    <row r="64714" customFormat="false" ht="12.75" hidden="false" customHeight="true" outlineLevel="0" collapsed="false"/>
    <row r="64715" customFormat="false" ht="12.75" hidden="false" customHeight="true" outlineLevel="0" collapsed="false"/>
    <row r="64716" customFormat="false" ht="12.75" hidden="false" customHeight="true" outlineLevel="0" collapsed="false"/>
    <row r="64717" customFormat="false" ht="12.75" hidden="false" customHeight="true" outlineLevel="0" collapsed="false"/>
    <row r="64718" customFormat="false" ht="12.75" hidden="false" customHeight="true" outlineLevel="0" collapsed="false"/>
    <row r="64719" customFormat="false" ht="12.75" hidden="false" customHeight="true" outlineLevel="0" collapsed="false"/>
    <row r="64720" customFormat="false" ht="12.75" hidden="false" customHeight="true" outlineLevel="0" collapsed="false"/>
    <row r="64721" customFormat="false" ht="12.75" hidden="false" customHeight="true" outlineLevel="0" collapsed="false"/>
    <row r="64722" customFormat="false" ht="12.75" hidden="false" customHeight="true" outlineLevel="0" collapsed="false"/>
    <row r="64723" customFormat="false" ht="12.75" hidden="false" customHeight="true" outlineLevel="0" collapsed="false"/>
    <row r="64724" customFormat="false" ht="12.75" hidden="false" customHeight="true" outlineLevel="0" collapsed="false"/>
    <row r="64725" customFormat="false" ht="12.75" hidden="false" customHeight="true" outlineLevel="0" collapsed="false"/>
    <row r="64726" customFormat="false" ht="12.75" hidden="false" customHeight="true" outlineLevel="0" collapsed="false"/>
    <row r="64727" customFormat="false" ht="12.75" hidden="false" customHeight="true" outlineLevel="0" collapsed="false"/>
    <row r="64728" customFormat="false" ht="12.75" hidden="false" customHeight="true" outlineLevel="0" collapsed="false"/>
    <row r="64729" customFormat="false" ht="12.75" hidden="false" customHeight="true" outlineLevel="0" collapsed="false"/>
    <row r="64730" customFormat="false" ht="12.75" hidden="false" customHeight="true" outlineLevel="0" collapsed="false"/>
    <row r="64731" customFormat="false" ht="12.75" hidden="false" customHeight="true" outlineLevel="0" collapsed="false"/>
    <row r="64732" customFormat="false" ht="12.75" hidden="false" customHeight="true" outlineLevel="0" collapsed="false"/>
    <row r="64733" customFormat="false" ht="12.75" hidden="false" customHeight="true" outlineLevel="0" collapsed="false"/>
    <row r="64734" customFormat="false" ht="12.75" hidden="false" customHeight="true" outlineLevel="0" collapsed="false"/>
    <row r="64735" customFormat="false" ht="12.75" hidden="false" customHeight="true" outlineLevel="0" collapsed="false"/>
    <row r="64736" customFormat="false" ht="12.75" hidden="false" customHeight="true" outlineLevel="0" collapsed="false"/>
    <row r="64737" customFormat="false" ht="12.75" hidden="false" customHeight="true" outlineLevel="0" collapsed="false"/>
    <row r="64738" customFormat="false" ht="12.75" hidden="false" customHeight="true" outlineLevel="0" collapsed="false"/>
    <row r="64739" customFormat="false" ht="12.75" hidden="false" customHeight="true" outlineLevel="0" collapsed="false"/>
    <row r="64740" customFormat="false" ht="12.75" hidden="false" customHeight="true" outlineLevel="0" collapsed="false"/>
    <row r="64741" customFormat="false" ht="12.75" hidden="false" customHeight="true" outlineLevel="0" collapsed="false"/>
    <row r="64742" customFormat="false" ht="12.75" hidden="false" customHeight="true" outlineLevel="0" collapsed="false"/>
    <row r="64743" customFormat="false" ht="12.75" hidden="false" customHeight="true" outlineLevel="0" collapsed="false"/>
    <row r="64744" customFormat="false" ht="12.75" hidden="false" customHeight="true" outlineLevel="0" collapsed="false"/>
    <row r="64745" customFormat="false" ht="12.75" hidden="false" customHeight="true" outlineLevel="0" collapsed="false"/>
    <row r="64746" customFormat="false" ht="12.75" hidden="false" customHeight="true" outlineLevel="0" collapsed="false"/>
    <row r="64747" customFormat="false" ht="12.75" hidden="false" customHeight="true" outlineLevel="0" collapsed="false"/>
    <row r="64748" customFormat="false" ht="12.75" hidden="false" customHeight="true" outlineLevel="0" collapsed="false"/>
    <row r="64749" customFormat="false" ht="12.75" hidden="false" customHeight="true" outlineLevel="0" collapsed="false"/>
    <row r="64750" customFormat="false" ht="12.75" hidden="false" customHeight="true" outlineLevel="0" collapsed="false"/>
    <row r="64751" customFormat="false" ht="12.75" hidden="false" customHeight="true" outlineLevel="0" collapsed="false"/>
    <row r="64752" customFormat="false" ht="12.75" hidden="false" customHeight="true" outlineLevel="0" collapsed="false"/>
    <row r="64753" customFormat="false" ht="12.75" hidden="false" customHeight="true" outlineLevel="0" collapsed="false"/>
    <row r="64754" customFormat="false" ht="12.75" hidden="false" customHeight="true" outlineLevel="0" collapsed="false"/>
    <row r="64755" customFormat="false" ht="12.75" hidden="false" customHeight="true" outlineLevel="0" collapsed="false"/>
    <row r="64756" customFormat="false" ht="12.75" hidden="false" customHeight="true" outlineLevel="0" collapsed="false"/>
    <row r="64757" customFormat="false" ht="12.75" hidden="false" customHeight="true" outlineLevel="0" collapsed="false"/>
    <row r="64758" customFormat="false" ht="12.75" hidden="false" customHeight="true" outlineLevel="0" collapsed="false"/>
    <row r="64759" customFormat="false" ht="12.75" hidden="false" customHeight="true" outlineLevel="0" collapsed="false"/>
    <row r="64760" customFormat="false" ht="12.75" hidden="false" customHeight="true" outlineLevel="0" collapsed="false"/>
    <row r="64761" customFormat="false" ht="12.75" hidden="false" customHeight="true" outlineLevel="0" collapsed="false"/>
    <row r="64762" customFormat="false" ht="12.75" hidden="false" customHeight="true" outlineLevel="0" collapsed="false"/>
    <row r="64763" customFormat="false" ht="12.75" hidden="false" customHeight="true" outlineLevel="0" collapsed="false"/>
    <row r="64764" customFormat="false" ht="12.75" hidden="false" customHeight="true" outlineLevel="0" collapsed="false"/>
    <row r="64765" customFormat="false" ht="12.75" hidden="false" customHeight="true" outlineLevel="0" collapsed="false"/>
    <row r="64766" customFormat="false" ht="12.75" hidden="false" customHeight="true" outlineLevel="0" collapsed="false"/>
    <row r="64767" customFormat="false" ht="12.75" hidden="false" customHeight="true" outlineLevel="0" collapsed="false"/>
    <row r="64768" customFormat="false" ht="12.75" hidden="false" customHeight="true" outlineLevel="0" collapsed="false"/>
    <row r="64769" customFormat="false" ht="12.75" hidden="false" customHeight="true" outlineLevel="0" collapsed="false"/>
    <row r="64770" customFormat="false" ht="12.75" hidden="false" customHeight="true" outlineLevel="0" collapsed="false"/>
    <row r="64771" customFormat="false" ht="12.75" hidden="false" customHeight="true" outlineLevel="0" collapsed="false"/>
    <row r="64772" customFormat="false" ht="12.75" hidden="false" customHeight="true" outlineLevel="0" collapsed="false"/>
    <row r="64773" customFormat="false" ht="12.75" hidden="false" customHeight="true" outlineLevel="0" collapsed="false"/>
    <row r="64774" customFormat="false" ht="12.75" hidden="false" customHeight="true" outlineLevel="0" collapsed="false"/>
    <row r="64775" customFormat="false" ht="12.75" hidden="false" customHeight="true" outlineLevel="0" collapsed="false"/>
    <row r="64776" customFormat="false" ht="12.75" hidden="false" customHeight="true" outlineLevel="0" collapsed="false"/>
    <row r="64777" customFormat="false" ht="12.75" hidden="false" customHeight="true" outlineLevel="0" collapsed="false"/>
    <row r="64778" customFormat="false" ht="12.75" hidden="false" customHeight="true" outlineLevel="0" collapsed="false"/>
    <row r="64779" customFormat="false" ht="12.75" hidden="false" customHeight="true" outlineLevel="0" collapsed="false"/>
    <row r="64780" customFormat="false" ht="12.75" hidden="false" customHeight="true" outlineLevel="0" collapsed="false"/>
    <row r="64781" customFormat="false" ht="12.75" hidden="false" customHeight="true" outlineLevel="0" collapsed="false"/>
    <row r="64782" customFormat="false" ht="12.75" hidden="false" customHeight="true" outlineLevel="0" collapsed="false"/>
    <row r="64783" customFormat="false" ht="12.75" hidden="false" customHeight="true" outlineLevel="0" collapsed="false"/>
    <row r="64784" customFormat="false" ht="12.75" hidden="false" customHeight="true" outlineLevel="0" collapsed="false"/>
    <row r="64785" customFormat="false" ht="12.75" hidden="false" customHeight="true" outlineLevel="0" collapsed="false"/>
    <row r="64786" customFormat="false" ht="12.75" hidden="false" customHeight="true" outlineLevel="0" collapsed="false"/>
    <row r="64787" customFormat="false" ht="12.75" hidden="false" customHeight="true" outlineLevel="0" collapsed="false"/>
    <row r="64788" customFormat="false" ht="12.75" hidden="false" customHeight="true" outlineLevel="0" collapsed="false"/>
    <row r="64789" customFormat="false" ht="12.75" hidden="false" customHeight="true" outlineLevel="0" collapsed="false"/>
    <row r="64790" customFormat="false" ht="12.75" hidden="false" customHeight="true" outlineLevel="0" collapsed="false"/>
    <row r="64791" customFormat="false" ht="12.75" hidden="false" customHeight="true" outlineLevel="0" collapsed="false"/>
    <row r="64792" customFormat="false" ht="12.75" hidden="false" customHeight="true" outlineLevel="0" collapsed="false"/>
    <row r="64793" customFormat="false" ht="12.75" hidden="false" customHeight="true" outlineLevel="0" collapsed="false"/>
    <row r="64794" customFormat="false" ht="12.75" hidden="false" customHeight="true" outlineLevel="0" collapsed="false"/>
    <row r="64795" customFormat="false" ht="12.75" hidden="false" customHeight="true" outlineLevel="0" collapsed="false"/>
    <row r="64796" customFormat="false" ht="12.75" hidden="false" customHeight="true" outlineLevel="0" collapsed="false"/>
    <row r="64797" customFormat="false" ht="12.75" hidden="false" customHeight="true" outlineLevel="0" collapsed="false"/>
    <row r="64798" customFormat="false" ht="12.75" hidden="false" customHeight="true" outlineLevel="0" collapsed="false"/>
    <row r="64799" customFormat="false" ht="12.75" hidden="false" customHeight="true" outlineLevel="0" collapsed="false"/>
    <row r="64800" customFormat="false" ht="12.75" hidden="false" customHeight="true" outlineLevel="0" collapsed="false"/>
    <row r="64801" customFormat="false" ht="12.75" hidden="false" customHeight="true" outlineLevel="0" collapsed="false"/>
    <row r="64802" customFormat="false" ht="12.75" hidden="false" customHeight="true" outlineLevel="0" collapsed="false"/>
    <row r="64803" customFormat="false" ht="12.75" hidden="false" customHeight="true" outlineLevel="0" collapsed="false"/>
    <row r="64804" customFormat="false" ht="12.75" hidden="false" customHeight="true" outlineLevel="0" collapsed="false"/>
    <row r="64805" customFormat="false" ht="12.75" hidden="false" customHeight="true" outlineLevel="0" collapsed="false"/>
    <row r="64806" customFormat="false" ht="12.75" hidden="false" customHeight="true" outlineLevel="0" collapsed="false"/>
    <row r="64807" customFormat="false" ht="12.75" hidden="false" customHeight="true" outlineLevel="0" collapsed="false"/>
    <row r="64808" customFormat="false" ht="12.75" hidden="false" customHeight="true" outlineLevel="0" collapsed="false"/>
    <row r="64809" customFormat="false" ht="12.75" hidden="false" customHeight="true" outlineLevel="0" collapsed="false"/>
    <row r="64810" customFormat="false" ht="12.75" hidden="false" customHeight="true" outlineLevel="0" collapsed="false"/>
    <row r="64811" customFormat="false" ht="12.75" hidden="false" customHeight="true" outlineLevel="0" collapsed="false"/>
    <row r="64812" customFormat="false" ht="12.75" hidden="false" customHeight="true" outlineLevel="0" collapsed="false"/>
    <row r="64813" customFormat="false" ht="12.75" hidden="false" customHeight="true" outlineLevel="0" collapsed="false"/>
    <row r="64814" customFormat="false" ht="12.75" hidden="false" customHeight="true" outlineLevel="0" collapsed="false"/>
    <row r="64815" customFormat="false" ht="12.75" hidden="false" customHeight="true" outlineLevel="0" collapsed="false"/>
    <row r="64816" customFormat="false" ht="12.75" hidden="false" customHeight="true" outlineLevel="0" collapsed="false"/>
    <row r="64817" customFormat="false" ht="12.75" hidden="false" customHeight="true" outlineLevel="0" collapsed="false"/>
    <row r="64818" customFormat="false" ht="12.75" hidden="false" customHeight="true" outlineLevel="0" collapsed="false"/>
    <row r="64819" customFormat="false" ht="12.75" hidden="false" customHeight="true" outlineLevel="0" collapsed="false"/>
    <row r="64820" customFormat="false" ht="12.75" hidden="false" customHeight="true" outlineLevel="0" collapsed="false"/>
    <row r="64821" customFormat="false" ht="12.75" hidden="false" customHeight="true" outlineLevel="0" collapsed="false"/>
    <row r="64822" customFormat="false" ht="12.75" hidden="false" customHeight="true" outlineLevel="0" collapsed="false"/>
    <row r="64823" customFormat="false" ht="12.75" hidden="false" customHeight="true" outlineLevel="0" collapsed="false"/>
    <row r="64824" customFormat="false" ht="12.75" hidden="false" customHeight="true" outlineLevel="0" collapsed="false"/>
    <row r="64825" customFormat="false" ht="12.75" hidden="false" customHeight="true" outlineLevel="0" collapsed="false"/>
    <row r="64826" customFormat="false" ht="12.75" hidden="false" customHeight="true" outlineLevel="0" collapsed="false"/>
    <row r="64827" customFormat="false" ht="12.75" hidden="false" customHeight="true" outlineLevel="0" collapsed="false"/>
    <row r="64828" customFormat="false" ht="12.75" hidden="false" customHeight="true" outlineLevel="0" collapsed="false"/>
    <row r="64829" customFormat="false" ht="12.75" hidden="false" customHeight="true" outlineLevel="0" collapsed="false"/>
    <row r="64830" customFormat="false" ht="12.75" hidden="false" customHeight="true" outlineLevel="0" collapsed="false"/>
    <row r="64831" customFormat="false" ht="12.75" hidden="false" customHeight="true" outlineLevel="0" collapsed="false"/>
    <row r="64832" customFormat="false" ht="12.75" hidden="false" customHeight="true" outlineLevel="0" collapsed="false"/>
    <row r="64833" customFormat="false" ht="12.75" hidden="false" customHeight="true" outlineLevel="0" collapsed="false"/>
    <row r="64834" customFormat="false" ht="12.75" hidden="false" customHeight="true" outlineLevel="0" collapsed="false"/>
    <row r="64835" customFormat="false" ht="12.75" hidden="false" customHeight="true" outlineLevel="0" collapsed="false"/>
    <row r="64836" customFormat="false" ht="12.75" hidden="false" customHeight="true" outlineLevel="0" collapsed="false"/>
    <row r="64837" customFormat="false" ht="12.75" hidden="false" customHeight="true" outlineLevel="0" collapsed="false"/>
    <row r="64838" customFormat="false" ht="12.75" hidden="false" customHeight="true" outlineLevel="0" collapsed="false"/>
    <row r="64839" customFormat="false" ht="12.75" hidden="false" customHeight="true" outlineLevel="0" collapsed="false"/>
    <row r="64840" customFormat="false" ht="12.75" hidden="false" customHeight="true" outlineLevel="0" collapsed="false"/>
    <row r="64841" customFormat="false" ht="12.75" hidden="false" customHeight="true" outlineLevel="0" collapsed="false"/>
    <row r="64842" customFormat="false" ht="12.75" hidden="false" customHeight="true" outlineLevel="0" collapsed="false"/>
    <row r="64843" customFormat="false" ht="12.75" hidden="false" customHeight="true" outlineLevel="0" collapsed="false"/>
    <row r="64844" customFormat="false" ht="12.75" hidden="false" customHeight="true" outlineLevel="0" collapsed="false"/>
    <row r="64845" customFormat="false" ht="12.75" hidden="false" customHeight="true" outlineLevel="0" collapsed="false"/>
    <row r="64846" customFormat="false" ht="12.75" hidden="false" customHeight="true" outlineLevel="0" collapsed="false"/>
    <row r="64847" customFormat="false" ht="12.75" hidden="false" customHeight="true" outlineLevel="0" collapsed="false"/>
    <row r="64848" customFormat="false" ht="12.75" hidden="false" customHeight="true" outlineLevel="0" collapsed="false"/>
    <row r="64849" customFormat="false" ht="12.75" hidden="false" customHeight="true" outlineLevel="0" collapsed="false"/>
    <row r="64850" customFormat="false" ht="12.75" hidden="false" customHeight="true" outlineLevel="0" collapsed="false"/>
    <row r="64851" customFormat="false" ht="12.75" hidden="false" customHeight="true" outlineLevel="0" collapsed="false"/>
    <row r="64852" customFormat="false" ht="12.75" hidden="false" customHeight="true" outlineLevel="0" collapsed="false"/>
    <row r="64853" customFormat="false" ht="12.75" hidden="false" customHeight="true" outlineLevel="0" collapsed="false"/>
    <row r="64854" customFormat="false" ht="12.75" hidden="false" customHeight="true" outlineLevel="0" collapsed="false"/>
    <row r="64855" customFormat="false" ht="12.75" hidden="false" customHeight="true" outlineLevel="0" collapsed="false"/>
    <row r="64856" customFormat="false" ht="12.75" hidden="false" customHeight="true" outlineLevel="0" collapsed="false"/>
    <row r="64857" customFormat="false" ht="12.75" hidden="false" customHeight="true" outlineLevel="0" collapsed="false"/>
    <row r="64858" customFormat="false" ht="12.75" hidden="false" customHeight="true" outlineLevel="0" collapsed="false"/>
    <row r="64859" customFormat="false" ht="12.75" hidden="false" customHeight="true" outlineLevel="0" collapsed="false"/>
    <row r="64860" customFormat="false" ht="12.75" hidden="false" customHeight="true" outlineLevel="0" collapsed="false"/>
    <row r="64861" customFormat="false" ht="12.75" hidden="false" customHeight="true" outlineLevel="0" collapsed="false"/>
    <row r="64862" customFormat="false" ht="12.75" hidden="false" customHeight="true" outlineLevel="0" collapsed="false"/>
    <row r="64863" customFormat="false" ht="12.75" hidden="false" customHeight="true" outlineLevel="0" collapsed="false"/>
    <row r="64864" customFormat="false" ht="12.75" hidden="false" customHeight="true" outlineLevel="0" collapsed="false"/>
    <row r="64865" customFormat="false" ht="12.75" hidden="false" customHeight="true" outlineLevel="0" collapsed="false"/>
    <row r="64866" customFormat="false" ht="12.75" hidden="false" customHeight="true" outlineLevel="0" collapsed="false"/>
    <row r="64867" customFormat="false" ht="12.75" hidden="false" customHeight="true" outlineLevel="0" collapsed="false"/>
    <row r="64868" customFormat="false" ht="12.75" hidden="false" customHeight="true" outlineLevel="0" collapsed="false"/>
    <row r="64869" customFormat="false" ht="12.75" hidden="false" customHeight="true" outlineLevel="0" collapsed="false"/>
    <row r="64870" customFormat="false" ht="12.75" hidden="false" customHeight="true" outlineLevel="0" collapsed="false"/>
    <row r="64871" customFormat="false" ht="12.75" hidden="false" customHeight="true" outlineLevel="0" collapsed="false"/>
    <row r="64872" customFormat="false" ht="12.75" hidden="false" customHeight="true" outlineLevel="0" collapsed="false"/>
    <row r="64873" customFormat="false" ht="12.75" hidden="false" customHeight="true" outlineLevel="0" collapsed="false"/>
    <row r="64874" customFormat="false" ht="12.75" hidden="false" customHeight="true" outlineLevel="0" collapsed="false"/>
    <row r="64875" customFormat="false" ht="12.75" hidden="false" customHeight="true" outlineLevel="0" collapsed="false"/>
    <row r="64876" customFormat="false" ht="12.75" hidden="false" customHeight="true" outlineLevel="0" collapsed="false"/>
    <row r="64877" customFormat="false" ht="12.75" hidden="false" customHeight="true" outlineLevel="0" collapsed="false"/>
    <row r="64878" customFormat="false" ht="12.75" hidden="false" customHeight="true" outlineLevel="0" collapsed="false"/>
    <row r="64879" customFormat="false" ht="12.75" hidden="false" customHeight="true" outlineLevel="0" collapsed="false"/>
    <row r="64880" customFormat="false" ht="12.75" hidden="false" customHeight="true" outlineLevel="0" collapsed="false"/>
    <row r="64881" customFormat="false" ht="12.75" hidden="false" customHeight="true" outlineLevel="0" collapsed="false"/>
    <row r="64882" customFormat="false" ht="12.75" hidden="false" customHeight="true" outlineLevel="0" collapsed="false"/>
    <row r="64883" customFormat="false" ht="12.75" hidden="false" customHeight="true" outlineLevel="0" collapsed="false"/>
    <row r="64884" customFormat="false" ht="12.75" hidden="false" customHeight="true" outlineLevel="0" collapsed="false"/>
    <row r="64885" customFormat="false" ht="12.75" hidden="false" customHeight="true" outlineLevel="0" collapsed="false"/>
    <row r="64886" customFormat="false" ht="12.75" hidden="false" customHeight="true" outlineLevel="0" collapsed="false"/>
    <row r="64887" customFormat="false" ht="12.75" hidden="false" customHeight="true" outlineLevel="0" collapsed="false"/>
    <row r="64888" customFormat="false" ht="12.75" hidden="false" customHeight="true" outlineLevel="0" collapsed="false"/>
    <row r="64889" customFormat="false" ht="12.75" hidden="false" customHeight="true" outlineLevel="0" collapsed="false"/>
    <row r="64890" customFormat="false" ht="12.75" hidden="false" customHeight="true" outlineLevel="0" collapsed="false"/>
    <row r="64891" customFormat="false" ht="12.75" hidden="false" customHeight="true" outlineLevel="0" collapsed="false"/>
    <row r="64892" customFormat="false" ht="12.75" hidden="false" customHeight="true" outlineLevel="0" collapsed="false"/>
    <row r="64893" customFormat="false" ht="12.75" hidden="false" customHeight="true" outlineLevel="0" collapsed="false"/>
    <row r="64894" customFormat="false" ht="12.75" hidden="false" customHeight="true" outlineLevel="0" collapsed="false"/>
    <row r="64895" customFormat="false" ht="12.75" hidden="false" customHeight="true" outlineLevel="0" collapsed="false"/>
    <row r="64896" customFormat="false" ht="12.75" hidden="false" customHeight="true" outlineLevel="0" collapsed="false"/>
    <row r="64897" customFormat="false" ht="12.75" hidden="false" customHeight="true" outlineLevel="0" collapsed="false"/>
    <row r="64898" customFormat="false" ht="12.75" hidden="false" customHeight="true" outlineLevel="0" collapsed="false"/>
    <row r="64899" customFormat="false" ht="12.75" hidden="false" customHeight="true" outlineLevel="0" collapsed="false"/>
    <row r="64900" customFormat="false" ht="12.75" hidden="false" customHeight="true" outlineLevel="0" collapsed="false"/>
    <row r="64901" customFormat="false" ht="12.75" hidden="false" customHeight="true" outlineLevel="0" collapsed="false"/>
    <row r="64902" customFormat="false" ht="12.75" hidden="false" customHeight="true" outlineLevel="0" collapsed="false"/>
    <row r="64903" customFormat="false" ht="12.75" hidden="false" customHeight="true" outlineLevel="0" collapsed="false"/>
    <row r="64904" customFormat="false" ht="12.75" hidden="false" customHeight="true" outlineLevel="0" collapsed="false"/>
    <row r="64905" customFormat="false" ht="12.75" hidden="false" customHeight="true" outlineLevel="0" collapsed="false"/>
    <row r="64906" customFormat="false" ht="12.75" hidden="false" customHeight="true" outlineLevel="0" collapsed="false"/>
    <row r="64907" customFormat="false" ht="12.75" hidden="false" customHeight="true" outlineLevel="0" collapsed="false"/>
    <row r="64908" customFormat="false" ht="12.75" hidden="false" customHeight="true" outlineLevel="0" collapsed="false"/>
    <row r="64909" customFormat="false" ht="12.75" hidden="false" customHeight="true" outlineLevel="0" collapsed="false"/>
    <row r="64910" customFormat="false" ht="12.75" hidden="false" customHeight="true" outlineLevel="0" collapsed="false"/>
    <row r="64911" customFormat="false" ht="12.75" hidden="false" customHeight="true" outlineLevel="0" collapsed="false"/>
    <row r="64912" customFormat="false" ht="12.75" hidden="false" customHeight="true" outlineLevel="0" collapsed="false"/>
    <row r="64913" customFormat="false" ht="12.75" hidden="false" customHeight="true" outlineLevel="0" collapsed="false"/>
    <row r="64914" customFormat="false" ht="12.75" hidden="false" customHeight="true" outlineLevel="0" collapsed="false"/>
    <row r="64915" customFormat="false" ht="12.75" hidden="false" customHeight="true" outlineLevel="0" collapsed="false"/>
    <row r="64916" customFormat="false" ht="12.75" hidden="false" customHeight="true" outlineLevel="0" collapsed="false"/>
    <row r="64917" customFormat="false" ht="12.75" hidden="false" customHeight="true" outlineLevel="0" collapsed="false"/>
    <row r="64918" customFormat="false" ht="12.75" hidden="false" customHeight="true" outlineLevel="0" collapsed="false"/>
    <row r="64919" customFormat="false" ht="12.75" hidden="false" customHeight="true" outlineLevel="0" collapsed="false"/>
    <row r="64920" customFormat="false" ht="12.75" hidden="false" customHeight="true" outlineLevel="0" collapsed="false"/>
    <row r="64921" customFormat="false" ht="12.75" hidden="false" customHeight="true" outlineLevel="0" collapsed="false"/>
    <row r="64922" customFormat="false" ht="12.75" hidden="false" customHeight="true" outlineLevel="0" collapsed="false"/>
    <row r="64923" customFormat="false" ht="12.75" hidden="false" customHeight="true" outlineLevel="0" collapsed="false"/>
    <row r="64924" customFormat="false" ht="12.75" hidden="false" customHeight="true" outlineLevel="0" collapsed="false"/>
    <row r="64925" customFormat="false" ht="12.75" hidden="false" customHeight="true" outlineLevel="0" collapsed="false"/>
    <row r="64926" customFormat="false" ht="12.75" hidden="false" customHeight="true" outlineLevel="0" collapsed="false"/>
    <row r="64927" customFormat="false" ht="12.75" hidden="false" customHeight="true" outlineLevel="0" collapsed="false"/>
    <row r="64928" customFormat="false" ht="12.75" hidden="false" customHeight="true" outlineLevel="0" collapsed="false"/>
    <row r="64929" customFormat="false" ht="12.75" hidden="false" customHeight="true" outlineLevel="0" collapsed="false"/>
    <row r="64930" customFormat="false" ht="12.75" hidden="false" customHeight="true" outlineLevel="0" collapsed="false"/>
    <row r="64931" customFormat="false" ht="12.75" hidden="false" customHeight="true" outlineLevel="0" collapsed="false"/>
    <row r="64932" customFormat="false" ht="12.75" hidden="false" customHeight="true" outlineLevel="0" collapsed="false"/>
    <row r="64933" customFormat="false" ht="12.75" hidden="false" customHeight="true" outlineLevel="0" collapsed="false"/>
    <row r="64934" customFormat="false" ht="12.75" hidden="false" customHeight="true" outlineLevel="0" collapsed="false"/>
    <row r="64935" customFormat="false" ht="12.75" hidden="false" customHeight="true" outlineLevel="0" collapsed="false"/>
    <row r="64936" customFormat="false" ht="12.75" hidden="false" customHeight="true" outlineLevel="0" collapsed="false"/>
    <row r="64937" customFormat="false" ht="12.75" hidden="false" customHeight="true" outlineLevel="0" collapsed="false"/>
    <row r="64938" customFormat="false" ht="12.75" hidden="false" customHeight="true" outlineLevel="0" collapsed="false"/>
    <row r="64939" customFormat="false" ht="12.75" hidden="false" customHeight="true" outlineLevel="0" collapsed="false"/>
    <row r="64940" customFormat="false" ht="12.75" hidden="false" customHeight="true" outlineLevel="0" collapsed="false"/>
    <row r="64941" customFormat="false" ht="12.75" hidden="false" customHeight="true" outlineLevel="0" collapsed="false"/>
    <row r="64942" customFormat="false" ht="12.75" hidden="false" customHeight="true" outlineLevel="0" collapsed="false"/>
    <row r="64943" customFormat="false" ht="12.75" hidden="false" customHeight="true" outlineLevel="0" collapsed="false"/>
    <row r="64944" customFormat="false" ht="12.75" hidden="false" customHeight="true" outlineLevel="0" collapsed="false"/>
    <row r="64945" customFormat="false" ht="12.75" hidden="false" customHeight="true" outlineLevel="0" collapsed="false"/>
    <row r="64946" customFormat="false" ht="12.75" hidden="false" customHeight="true" outlineLevel="0" collapsed="false"/>
    <row r="64947" customFormat="false" ht="12.75" hidden="false" customHeight="true" outlineLevel="0" collapsed="false"/>
    <row r="64948" customFormat="false" ht="12.75" hidden="false" customHeight="true" outlineLevel="0" collapsed="false"/>
    <row r="64949" customFormat="false" ht="12.75" hidden="false" customHeight="true" outlineLevel="0" collapsed="false"/>
    <row r="64950" customFormat="false" ht="12.75" hidden="false" customHeight="true" outlineLevel="0" collapsed="false"/>
    <row r="64951" customFormat="false" ht="12.75" hidden="false" customHeight="true" outlineLevel="0" collapsed="false"/>
    <row r="64952" customFormat="false" ht="12.75" hidden="false" customHeight="true" outlineLevel="0" collapsed="false"/>
    <row r="64953" customFormat="false" ht="12.75" hidden="false" customHeight="true" outlineLevel="0" collapsed="false"/>
    <row r="64954" customFormat="false" ht="12.75" hidden="false" customHeight="true" outlineLevel="0" collapsed="false"/>
    <row r="64955" customFormat="false" ht="12.75" hidden="false" customHeight="true" outlineLevel="0" collapsed="false"/>
    <row r="64956" customFormat="false" ht="12.75" hidden="false" customHeight="true" outlineLevel="0" collapsed="false"/>
    <row r="64957" customFormat="false" ht="12.75" hidden="false" customHeight="true" outlineLevel="0" collapsed="false"/>
    <row r="64958" customFormat="false" ht="12.75" hidden="false" customHeight="true" outlineLevel="0" collapsed="false"/>
    <row r="64959" customFormat="false" ht="12.75" hidden="false" customHeight="true" outlineLevel="0" collapsed="false"/>
    <row r="64960" customFormat="false" ht="12.75" hidden="false" customHeight="true" outlineLevel="0" collapsed="false"/>
    <row r="64961" customFormat="false" ht="12.75" hidden="false" customHeight="true" outlineLevel="0" collapsed="false"/>
    <row r="64962" customFormat="false" ht="12.75" hidden="false" customHeight="true" outlineLevel="0" collapsed="false"/>
    <row r="64963" customFormat="false" ht="12.75" hidden="false" customHeight="true" outlineLevel="0" collapsed="false"/>
    <row r="64964" customFormat="false" ht="12.75" hidden="false" customHeight="true" outlineLevel="0" collapsed="false"/>
    <row r="64965" customFormat="false" ht="12.75" hidden="false" customHeight="true" outlineLevel="0" collapsed="false"/>
    <row r="64966" customFormat="false" ht="12.75" hidden="false" customHeight="true" outlineLevel="0" collapsed="false"/>
    <row r="64967" customFormat="false" ht="12.75" hidden="false" customHeight="true" outlineLevel="0" collapsed="false"/>
    <row r="64968" customFormat="false" ht="12.75" hidden="false" customHeight="true" outlineLevel="0" collapsed="false"/>
    <row r="64969" customFormat="false" ht="12.75" hidden="false" customHeight="true" outlineLevel="0" collapsed="false"/>
    <row r="64970" customFormat="false" ht="12.75" hidden="false" customHeight="true" outlineLevel="0" collapsed="false"/>
    <row r="64971" customFormat="false" ht="12.75" hidden="false" customHeight="true" outlineLevel="0" collapsed="false"/>
    <row r="64972" customFormat="false" ht="12.75" hidden="false" customHeight="true" outlineLevel="0" collapsed="false"/>
    <row r="64973" customFormat="false" ht="12.75" hidden="false" customHeight="true" outlineLevel="0" collapsed="false"/>
    <row r="64974" customFormat="false" ht="12.75" hidden="false" customHeight="true" outlineLevel="0" collapsed="false"/>
    <row r="64975" customFormat="false" ht="12.75" hidden="false" customHeight="true" outlineLevel="0" collapsed="false"/>
    <row r="64976" customFormat="false" ht="12.75" hidden="false" customHeight="true" outlineLevel="0" collapsed="false"/>
    <row r="64977" customFormat="false" ht="12.75" hidden="false" customHeight="true" outlineLevel="0" collapsed="false"/>
    <row r="64978" customFormat="false" ht="12.75" hidden="false" customHeight="true" outlineLevel="0" collapsed="false"/>
    <row r="64979" customFormat="false" ht="12.75" hidden="false" customHeight="true" outlineLevel="0" collapsed="false"/>
    <row r="64980" customFormat="false" ht="12.75" hidden="false" customHeight="true" outlineLevel="0" collapsed="false"/>
    <row r="64981" customFormat="false" ht="12.75" hidden="false" customHeight="true" outlineLevel="0" collapsed="false"/>
    <row r="64982" customFormat="false" ht="12.75" hidden="false" customHeight="true" outlineLevel="0" collapsed="false"/>
    <row r="64983" customFormat="false" ht="12.75" hidden="false" customHeight="true" outlineLevel="0" collapsed="false"/>
    <row r="64984" customFormat="false" ht="12.75" hidden="false" customHeight="true" outlineLevel="0" collapsed="false"/>
    <row r="64985" customFormat="false" ht="12.75" hidden="false" customHeight="true" outlineLevel="0" collapsed="false"/>
    <row r="64986" customFormat="false" ht="12.75" hidden="false" customHeight="true" outlineLevel="0" collapsed="false"/>
    <row r="64987" customFormat="false" ht="12.75" hidden="false" customHeight="true" outlineLevel="0" collapsed="false"/>
    <row r="64988" customFormat="false" ht="12.75" hidden="false" customHeight="true" outlineLevel="0" collapsed="false"/>
    <row r="64989" customFormat="false" ht="12.75" hidden="false" customHeight="true" outlineLevel="0" collapsed="false"/>
    <row r="64990" customFormat="false" ht="12.75" hidden="false" customHeight="true" outlineLevel="0" collapsed="false"/>
    <row r="64991" customFormat="false" ht="12.75" hidden="false" customHeight="true" outlineLevel="0" collapsed="false"/>
    <row r="64992" customFormat="false" ht="12.75" hidden="false" customHeight="true" outlineLevel="0" collapsed="false"/>
    <row r="64993" customFormat="false" ht="12.75" hidden="false" customHeight="true" outlineLevel="0" collapsed="false"/>
    <row r="64994" customFormat="false" ht="12.75" hidden="false" customHeight="true" outlineLevel="0" collapsed="false"/>
    <row r="64995" customFormat="false" ht="12.75" hidden="false" customHeight="true" outlineLevel="0" collapsed="false"/>
    <row r="64996" customFormat="false" ht="12.75" hidden="false" customHeight="true" outlineLevel="0" collapsed="false"/>
    <row r="64997" customFormat="false" ht="12.75" hidden="false" customHeight="true" outlineLevel="0" collapsed="false"/>
    <row r="64998" customFormat="false" ht="12.75" hidden="false" customHeight="true" outlineLevel="0" collapsed="false"/>
    <row r="64999" customFormat="false" ht="12.75" hidden="false" customHeight="true" outlineLevel="0" collapsed="false"/>
    <row r="65000" customFormat="false" ht="12.75" hidden="false" customHeight="true" outlineLevel="0" collapsed="false"/>
    <row r="65001" customFormat="false" ht="12.75" hidden="false" customHeight="true" outlineLevel="0" collapsed="false"/>
    <row r="65002" customFormat="false" ht="12.75" hidden="false" customHeight="true" outlineLevel="0" collapsed="false"/>
    <row r="65003" customFormat="false" ht="12.75" hidden="false" customHeight="true" outlineLevel="0" collapsed="false"/>
    <row r="65004" customFormat="false" ht="12.75" hidden="false" customHeight="true" outlineLevel="0" collapsed="false"/>
    <row r="65005" customFormat="false" ht="12.75" hidden="false" customHeight="true" outlineLevel="0" collapsed="false"/>
    <row r="65006" customFormat="false" ht="12.75" hidden="false" customHeight="true" outlineLevel="0" collapsed="false"/>
    <row r="65007" customFormat="false" ht="12.75" hidden="false" customHeight="true" outlineLevel="0" collapsed="false"/>
    <row r="65008" customFormat="false" ht="12.75" hidden="false" customHeight="true" outlineLevel="0" collapsed="false"/>
    <row r="65009" customFormat="false" ht="12.75" hidden="false" customHeight="true" outlineLevel="0" collapsed="false"/>
    <row r="65010" customFormat="false" ht="12.75" hidden="false" customHeight="true" outlineLevel="0" collapsed="false"/>
    <row r="65011" customFormat="false" ht="12.75" hidden="false" customHeight="true" outlineLevel="0" collapsed="false"/>
    <row r="65012" customFormat="false" ht="12.75" hidden="false" customHeight="true" outlineLevel="0" collapsed="false"/>
    <row r="65013" customFormat="false" ht="12.75" hidden="false" customHeight="true" outlineLevel="0" collapsed="false"/>
    <row r="65014" customFormat="false" ht="12.75" hidden="false" customHeight="true" outlineLevel="0" collapsed="false"/>
    <row r="65015" customFormat="false" ht="12.75" hidden="false" customHeight="true" outlineLevel="0" collapsed="false"/>
    <row r="65016" customFormat="false" ht="12.75" hidden="false" customHeight="true" outlineLevel="0" collapsed="false"/>
    <row r="65017" customFormat="false" ht="12.75" hidden="false" customHeight="true" outlineLevel="0" collapsed="false"/>
    <row r="65018" customFormat="false" ht="12.75" hidden="false" customHeight="true" outlineLevel="0" collapsed="false"/>
    <row r="65019" customFormat="false" ht="12.75" hidden="false" customHeight="true" outlineLevel="0" collapsed="false"/>
    <row r="65020" customFormat="false" ht="12.75" hidden="false" customHeight="true" outlineLevel="0" collapsed="false"/>
    <row r="65021" customFormat="false" ht="12.75" hidden="false" customHeight="true" outlineLevel="0" collapsed="false"/>
    <row r="65022" customFormat="false" ht="12.75" hidden="false" customHeight="true" outlineLevel="0" collapsed="false"/>
    <row r="65023" customFormat="false" ht="12.75" hidden="false" customHeight="true" outlineLevel="0" collapsed="false"/>
    <row r="65024" customFormat="false" ht="12.75" hidden="false" customHeight="true" outlineLevel="0" collapsed="false"/>
    <row r="65025" customFormat="false" ht="12.75" hidden="false" customHeight="true" outlineLevel="0" collapsed="false"/>
    <row r="65026" customFormat="false" ht="12.75" hidden="false" customHeight="true" outlineLevel="0" collapsed="false"/>
    <row r="65027" customFormat="false" ht="12.75" hidden="false" customHeight="true" outlineLevel="0" collapsed="false"/>
    <row r="65028" customFormat="false" ht="12.75" hidden="false" customHeight="true" outlineLevel="0" collapsed="false"/>
    <row r="65029" customFormat="false" ht="12.75" hidden="false" customHeight="true" outlineLevel="0" collapsed="false"/>
    <row r="65030" customFormat="false" ht="12.75" hidden="false" customHeight="true" outlineLevel="0" collapsed="false"/>
    <row r="65031" customFormat="false" ht="12.75" hidden="false" customHeight="true" outlineLevel="0" collapsed="false"/>
    <row r="65032" customFormat="false" ht="12.75" hidden="false" customHeight="true" outlineLevel="0" collapsed="false"/>
    <row r="65033" customFormat="false" ht="12.75" hidden="false" customHeight="true" outlineLevel="0" collapsed="false"/>
    <row r="65034" customFormat="false" ht="12.75" hidden="false" customHeight="true" outlineLevel="0" collapsed="false"/>
    <row r="65035" customFormat="false" ht="12.75" hidden="false" customHeight="true" outlineLevel="0" collapsed="false"/>
    <row r="65036" customFormat="false" ht="12.75" hidden="false" customHeight="true" outlineLevel="0" collapsed="false"/>
    <row r="65037" customFormat="false" ht="12.75" hidden="false" customHeight="true" outlineLevel="0" collapsed="false"/>
    <row r="65038" customFormat="false" ht="12.75" hidden="false" customHeight="true" outlineLevel="0" collapsed="false"/>
    <row r="65039" customFormat="false" ht="12.75" hidden="false" customHeight="true" outlineLevel="0" collapsed="false"/>
    <row r="65040" customFormat="false" ht="12.75" hidden="false" customHeight="true" outlineLevel="0" collapsed="false"/>
    <row r="65041" customFormat="false" ht="12.75" hidden="false" customHeight="true" outlineLevel="0" collapsed="false"/>
    <row r="65042" customFormat="false" ht="12.75" hidden="false" customHeight="true" outlineLevel="0" collapsed="false"/>
    <row r="65043" customFormat="false" ht="12.75" hidden="false" customHeight="true" outlineLevel="0" collapsed="false"/>
    <row r="65044" customFormat="false" ht="12.75" hidden="false" customHeight="true" outlineLevel="0" collapsed="false"/>
    <row r="65045" customFormat="false" ht="12.75" hidden="false" customHeight="true" outlineLevel="0" collapsed="false"/>
    <row r="65046" customFormat="false" ht="12.75" hidden="false" customHeight="true" outlineLevel="0" collapsed="false"/>
    <row r="65047" customFormat="false" ht="12.75" hidden="false" customHeight="true" outlineLevel="0" collapsed="false"/>
    <row r="65048" customFormat="false" ht="12.75" hidden="false" customHeight="true" outlineLevel="0" collapsed="false"/>
    <row r="65049" customFormat="false" ht="12.75" hidden="false" customHeight="true" outlineLevel="0" collapsed="false"/>
    <row r="65050" customFormat="false" ht="12.75" hidden="false" customHeight="true" outlineLevel="0" collapsed="false"/>
    <row r="65051" customFormat="false" ht="12.75" hidden="false" customHeight="true" outlineLevel="0" collapsed="false"/>
    <row r="65052" customFormat="false" ht="12.75" hidden="false" customHeight="true" outlineLevel="0" collapsed="false"/>
    <row r="65053" customFormat="false" ht="12.75" hidden="false" customHeight="true" outlineLevel="0" collapsed="false"/>
    <row r="65054" customFormat="false" ht="12.75" hidden="false" customHeight="true" outlineLevel="0" collapsed="false"/>
    <row r="65055" customFormat="false" ht="12.75" hidden="false" customHeight="true" outlineLevel="0" collapsed="false"/>
    <row r="65056" customFormat="false" ht="12.75" hidden="false" customHeight="true" outlineLevel="0" collapsed="false"/>
    <row r="65057" customFormat="false" ht="12.75" hidden="false" customHeight="true" outlineLevel="0" collapsed="false"/>
    <row r="65058" customFormat="false" ht="12.75" hidden="false" customHeight="true" outlineLevel="0" collapsed="false"/>
    <row r="65059" customFormat="false" ht="12.75" hidden="false" customHeight="true" outlineLevel="0" collapsed="false"/>
    <row r="65060" customFormat="false" ht="12.75" hidden="false" customHeight="true" outlineLevel="0" collapsed="false"/>
    <row r="65061" customFormat="false" ht="12.75" hidden="false" customHeight="true" outlineLevel="0" collapsed="false"/>
    <row r="65062" customFormat="false" ht="12.75" hidden="false" customHeight="true" outlineLevel="0" collapsed="false"/>
    <row r="65063" customFormat="false" ht="12.75" hidden="false" customHeight="true" outlineLevel="0" collapsed="false"/>
    <row r="65064" customFormat="false" ht="12.75" hidden="false" customHeight="true" outlineLevel="0" collapsed="false"/>
    <row r="65065" customFormat="false" ht="12.75" hidden="false" customHeight="true" outlineLevel="0" collapsed="false"/>
    <row r="65066" customFormat="false" ht="12.75" hidden="false" customHeight="true" outlineLevel="0" collapsed="false"/>
    <row r="65067" customFormat="false" ht="12.75" hidden="false" customHeight="true" outlineLevel="0" collapsed="false"/>
    <row r="65068" customFormat="false" ht="12.75" hidden="false" customHeight="true" outlineLevel="0" collapsed="false"/>
    <row r="65069" customFormat="false" ht="12.75" hidden="false" customHeight="true" outlineLevel="0" collapsed="false"/>
    <row r="65070" customFormat="false" ht="12.75" hidden="false" customHeight="true" outlineLevel="0" collapsed="false"/>
    <row r="65071" customFormat="false" ht="12.75" hidden="false" customHeight="true" outlineLevel="0" collapsed="false"/>
    <row r="65072" customFormat="false" ht="12.75" hidden="false" customHeight="true" outlineLevel="0" collapsed="false"/>
    <row r="65073" customFormat="false" ht="12.75" hidden="false" customHeight="true" outlineLevel="0" collapsed="false"/>
    <row r="65074" customFormat="false" ht="12.75" hidden="false" customHeight="true" outlineLevel="0" collapsed="false"/>
    <row r="65075" customFormat="false" ht="12.75" hidden="false" customHeight="true" outlineLevel="0" collapsed="false"/>
    <row r="65076" customFormat="false" ht="12.75" hidden="false" customHeight="true" outlineLevel="0" collapsed="false"/>
    <row r="65077" customFormat="false" ht="12.75" hidden="false" customHeight="true" outlineLevel="0" collapsed="false"/>
    <row r="65078" customFormat="false" ht="12.75" hidden="false" customHeight="true" outlineLevel="0" collapsed="false"/>
    <row r="65079" customFormat="false" ht="12.75" hidden="false" customHeight="true" outlineLevel="0" collapsed="false"/>
    <row r="65080" customFormat="false" ht="12.75" hidden="false" customHeight="true" outlineLevel="0" collapsed="false"/>
    <row r="65081" customFormat="false" ht="12.75" hidden="false" customHeight="true" outlineLevel="0" collapsed="false"/>
    <row r="65082" customFormat="false" ht="12.75" hidden="false" customHeight="true" outlineLevel="0" collapsed="false"/>
    <row r="65083" customFormat="false" ht="12.75" hidden="false" customHeight="true" outlineLevel="0" collapsed="false"/>
    <row r="65084" customFormat="false" ht="12.75" hidden="false" customHeight="true" outlineLevel="0" collapsed="false"/>
    <row r="65085" customFormat="false" ht="12.75" hidden="false" customHeight="true" outlineLevel="0" collapsed="false"/>
    <row r="65086" customFormat="false" ht="12.75" hidden="false" customHeight="true" outlineLevel="0" collapsed="false"/>
    <row r="65087" customFormat="false" ht="12.75" hidden="false" customHeight="true" outlineLevel="0" collapsed="false"/>
    <row r="65088" customFormat="false" ht="12.75" hidden="false" customHeight="true" outlineLevel="0" collapsed="false"/>
    <row r="65089" customFormat="false" ht="12.75" hidden="false" customHeight="true" outlineLevel="0" collapsed="false"/>
    <row r="65090" customFormat="false" ht="12.75" hidden="false" customHeight="true" outlineLevel="0" collapsed="false"/>
    <row r="65091" customFormat="false" ht="12.75" hidden="false" customHeight="true" outlineLevel="0" collapsed="false"/>
    <row r="65092" customFormat="false" ht="12.75" hidden="false" customHeight="true" outlineLevel="0" collapsed="false"/>
    <row r="65093" customFormat="false" ht="12.75" hidden="false" customHeight="true" outlineLevel="0" collapsed="false"/>
    <row r="65094" customFormat="false" ht="12.75" hidden="false" customHeight="true" outlineLevel="0" collapsed="false"/>
    <row r="65095" customFormat="false" ht="12.75" hidden="false" customHeight="true" outlineLevel="0" collapsed="false"/>
    <row r="65096" customFormat="false" ht="12.75" hidden="false" customHeight="true" outlineLevel="0" collapsed="false"/>
    <row r="65097" customFormat="false" ht="12.75" hidden="false" customHeight="true" outlineLevel="0" collapsed="false"/>
    <row r="65098" customFormat="false" ht="12.75" hidden="false" customHeight="true" outlineLevel="0" collapsed="false"/>
    <row r="65099" customFormat="false" ht="12.75" hidden="false" customHeight="true" outlineLevel="0" collapsed="false"/>
    <row r="65100" customFormat="false" ht="12.75" hidden="false" customHeight="true" outlineLevel="0" collapsed="false"/>
    <row r="65101" customFormat="false" ht="12.75" hidden="false" customHeight="true" outlineLevel="0" collapsed="false"/>
    <row r="65102" customFormat="false" ht="12.75" hidden="false" customHeight="true" outlineLevel="0" collapsed="false"/>
    <row r="65103" customFormat="false" ht="12.75" hidden="false" customHeight="true" outlineLevel="0" collapsed="false"/>
    <row r="65104" customFormat="false" ht="12.75" hidden="false" customHeight="true" outlineLevel="0" collapsed="false"/>
    <row r="65105" customFormat="false" ht="12.75" hidden="false" customHeight="true" outlineLevel="0" collapsed="false"/>
    <row r="65106" customFormat="false" ht="12.75" hidden="false" customHeight="true" outlineLevel="0" collapsed="false"/>
    <row r="65107" customFormat="false" ht="12.75" hidden="false" customHeight="true" outlineLevel="0" collapsed="false"/>
    <row r="65108" customFormat="false" ht="12.75" hidden="false" customHeight="true" outlineLevel="0" collapsed="false"/>
    <row r="65109" customFormat="false" ht="12.75" hidden="false" customHeight="true" outlineLevel="0" collapsed="false"/>
    <row r="65110" customFormat="false" ht="12.75" hidden="false" customHeight="true" outlineLevel="0" collapsed="false"/>
    <row r="65111" customFormat="false" ht="12.75" hidden="false" customHeight="true" outlineLevel="0" collapsed="false"/>
    <row r="65112" customFormat="false" ht="12.75" hidden="false" customHeight="true" outlineLevel="0" collapsed="false"/>
    <row r="65113" customFormat="false" ht="12.75" hidden="false" customHeight="true" outlineLevel="0" collapsed="false"/>
    <row r="65114" customFormat="false" ht="12.75" hidden="false" customHeight="true" outlineLevel="0" collapsed="false"/>
    <row r="65115" customFormat="false" ht="12.75" hidden="false" customHeight="true" outlineLevel="0" collapsed="false"/>
    <row r="65116" customFormat="false" ht="12.75" hidden="false" customHeight="true" outlineLevel="0" collapsed="false"/>
    <row r="65117" customFormat="false" ht="12.75" hidden="false" customHeight="true" outlineLevel="0" collapsed="false"/>
    <row r="65118" customFormat="false" ht="12.75" hidden="false" customHeight="true" outlineLevel="0" collapsed="false"/>
    <row r="65119" customFormat="false" ht="12.75" hidden="false" customHeight="true" outlineLevel="0" collapsed="false"/>
    <row r="65120" customFormat="false" ht="12.75" hidden="false" customHeight="true" outlineLevel="0" collapsed="false"/>
    <row r="65121" customFormat="false" ht="12.75" hidden="false" customHeight="true" outlineLevel="0" collapsed="false"/>
    <row r="65122" customFormat="false" ht="12.75" hidden="false" customHeight="true" outlineLevel="0" collapsed="false"/>
    <row r="65123" customFormat="false" ht="12.75" hidden="false" customHeight="true" outlineLevel="0" collapsed="false"/>
    <row r="65124" customFormat="false" ht="12.75" hidden="false" customHeight="true" outlineLevel="0" collapsed="false"/>
    <row r="65125" customFormat="false" ht="12.75" hidden="false" customHeight="true" outlineLevel="0" collapsed="false"/>
    <row r="65126" customFormat="false" ht="12.75" hidden="false" customHeight="true" outlineLevel="0" collapsed="false"/>
    <row r="65127" customFormat="false" ht="12.75" hidden="false" customHeight="true" outlineLevel="0" collapsed="false"/>
    <row r="65128" customFormat="false" ht="12.75" hidden="false" customHeight="true" outlineLevel="0" collapsed="false"/>
    <row r="65129" customFormat="false" ht="12.75" hidden="false" customHeight="true" outlineLevel="0" collapsed="false"/>
    <row r="65130" customFormat="false" ht="12.75" hidden="false" customHeight="true" outlineLevel="0" collapsed="false"/>
    <row r="65131" customFormat="false" ht="12.75" hidden="false" customHeight="true" outlineLevel="0" collapsed="false"/>
    <row r="65132" customFormat="false" ht="12.75" hidden="false" customHeight="true" outlineLevel="0" collapsed="false"/>
    <row r="65133" customFormat="false" ht="12.75" hidden="false" customHeight="true" outlineLevel="0" collapsed="false"/>
    <row r="65134" customFormat="false" ht="12.75" hidden="false" customHeight="true" outlineLevel="0" collapsed="false"/>
    <row r="65135" customFormat="false" ht="12.75" hidden="false" customHeight="true" outlineLevel="0" collapsed="false"/>
    <row r="65136" customFormat="false" ht="12.75" hidden="false" customHeight="true" outlineLevel="0" collapsed="false"/>
    <row r="65137" customFormat="false" ht="12.75" hidden="false" customHeight="true" outlineLevel="0" collapsed="false"/>
    <row r="65138" customFormat="false" ht="12.75" hidden="false" customHeight="true" outlineLevel="0" collapsed="false"/>
    <row r="65139" customFormat="false" ht="12.75" hidden="false" customHeight="true" outlineLevel="0" collapsed="false"/>
    <row r="65140" customFormat="false" ht="12.75" hidden="false" customHeight="true" outlineLevel="0" collapsed="false"/>
    <row r="65141" customFormat="false" ht="12.75" hidden="false" customHeight="true" outlineLevel="0" collapsed="false"/>
    <row r="65142" customFormat="false" ht="12.75" hidden="false" customHeight="true" outlineLevel="0" collapsed="false"/>
    <row r="65143" customFormat="false" ht="12.75" hidden="false" customHeight="true" outlineLevel="0" collapsed="false"/>
    <row r="65144" customFormat="false" ht="12.75" hidden="false" customHeight="true" outlineLevel="0" collapsed="false"/>
    <row r="65145" customFormat="false" ht="12.75" hidden="false" customHeight="true" outlineLevel="0" collapsed="false"/>
    <row r="65146" customFormat="false" ht="12.75" hidden="false" customHeight="true" outlineLevel="0" collapsed="false"/>
    <row r="65147" customFormat="false" ht="12.75" hidden="false" customHeight="true" outlineLevel="0" collapsed="false"/>
    <row r="65148" customFormat="false" ht="12.75" hidden="false" customHeight="true" outlineLevel="0" collapsed="false"/>
    <row r="65149" customFormat="false" ht="12.75" hidden="false" customHeight="true" outlineLevel="0" collapsed="false"/>
    <row r="65150" customFormat="false" ht="12.75" hidden="false" customHeight="true" outlineLevel="0" collapsed="false"/>
    <row r="65151" customFormat="false" ht="12.75" hidden="false" customHeight="true" outlineLevel="0" collapsed="false"/>
    <row r="65152" customFormat="false" ht="12.75" hidden="false" customHeight="true" outlineLevel="0" collapsed="false"/>
    <row r="65153" customFormat="false" ht="12.75" hidden="false" customHeight="true" outlineLevel="0" collapsed="false"/>
    <row r="65154" customFormat="false" ht="12.75" hidden="false" customHeight="true" outlineLevel="0" collapsed="false"/>
    <row r="65155" customFormat="false" ht="12.75" hidden="false" customHeight="true" outlineLevel="0" collapsed="false"/>
    <row r="65156" customFormat="false" ht="12.75" hidden="false" customHeight="true" outlineLevel="0" collapsed="false"/>
    <row r="65157" customFormat="false" ht="12.75" hidden="false" customHeight="true" outlineLevel="0" collapsed="false"/>
    <row r="65158" customFormat="false" ht="12.75" hidden="false" customHeight="true" outlineLevel="0" collapsed="false"/>
    <row r="65159" customFormat="false" ht="12.75" hidden="false" customHeight="true" outlineLevel="0" collapsed="false"/>
    <row r="65160" customFormat="false" ht="12.75" hidden="false" customHeight="true" outlineLevel="0" collapsed="false"/>
    <row r="65161" customFormat="false" ht="12.75" hidden="false" customHeight="true" outlineLevel="0" collapsed="false"/>
    <row r="65162" customFormat="false" ht="12.75" hidden="false" customHeight="true" outlineLevel="0" collapsed="false"/>
    <row r="65163" customFormat="false" ht="12.75" hidden="false" customHeight="true" outlineLevel="0" collapsed="false"/>
    <row r="65164" customFormat="false" ht="12.75" hidden="false" customHeight="true" outlineLevel="0" collapsed="false"/>
    <row r="65165" customFormat="false" ht="12.75" hidden="false" customHeight="true" outlineLevel="0" collapsed="false"/>
    <row r="65166" customFormat="false" ht="12.75" hidden="false" customHeight="true" outlineLevel="0" collapsed="false"/>
    <row r="65167" customFormat="false" ht="12.75" hidden="false" customHeight="true" outlineLevel="0" collapsed="false"/>
    <row r="65168" customFormat="false" ht="12.75" hidden="false" customHeight="true" outlineLevel="0" collapsed="false"/>
    <row r="65169" customFormat="false" ht="12.75" hidden="false" customHeight="true" outlineLevel="0" collapsed="false"/>
    <row r="65170" customFormat="false" ht="12.75" hidden="false" customHeight="true" outlineLevel="0" collapsed="false"/>
    <row r="65171" customFormat="false" ht="12.75" hidden="false" customHeight="true" outlineLevel="0" collapsed="false"/>
    <row r="65172" customFormat="false" ht="12.75" hidden="false" customHeight="true" outlineLevel="0" collapsed="false"/>
    <row r="65173" customFormat="false" ht="12.75" hidden="false" customHeight="true" outlineLevel="0" collapsed="false"/>
    <row r="65174" customFormat="false" ht="12.75" hidden="false" customHeight="true" outlineLevel="0" collapsed="false"/>
    <row r="65175" customFormat="false" ht="12.75" hidden="false" customHeight="true" outlineLevel="0" collapsed="false"/>
    <row r="65176" customFormat="false" ht="12.75" hidden="false" customHeight="true" outlineLevel="0" collapsed="false"/>
    <row r="65177" customFormat="false" ht="12.75" hidden="false" customHeight="true" outlineLevel="0" collapsed="false"/>
    <row r="65178" customFormat="false" ht="12.75" hidden="false" customHeight="true" outlineLevel="0" collapsed="false"/>
    <row r="65179" customFormat="false" ht="12.75" hidden="false" customHeight="true" outlineLevel="0" collapsed="false"/>
    <row r="65180" customFormat="false" ht="12.75" hidden="false" customHeight="true" outlineLevel="0" collapsed="false"/>
    <row r="65181" customFormat="false" ht="12.75" hidden="false" customHeight="true" outlineLevel="0" collapsed="false"/>
    <row r="65182" customFormat="false" ht="12.75" hidden="false" customHeight="true" outlineLevel="0" collapsed="false"/>
    <row r="65183" customFormat="false" ht="12.75" hidden="false" customHeight="true" outlineLevel="0" collapsed="false"/>
    <row r="65184" customFormat="false" ht="12.75" hidden="false" customHeight="true" outlineLevel="0" collapsed="false"/>
    <row r="65185" customFormat="false" ht="12.75" hidden="false" customHeight="true" outlineLevel="0" collapsed="false"/>
    <row r="65186" customFormat="false" ht="12.75" hidden="false" customHeight="true" outlineLevel="0" collapsed="false"/>
    <row r="65187" customFormat="false" ht="12.75" hidden="false" customHeight="true" outlineLevel="0" collapsed="false"/>
    <row r="65188" customFormat="false" ht="12.75" hidden="false" customHeight="true" outlineLevel="0" collapsed="false"/>
    <row r="65189" customFormat="false" ht="12.75" hidden="false" customHeight="true" outlineLevel="0" collapsed="false"/>
    <row r="65190" customFormat="false" ht="12.75" hidden="false" customHeight="true" outlineLevel="0" collapsed="false"/>
    <row r="65191" customFormat="false" ht="12.75" hidden="false" customHeight="true" outlineLevel="0" collapsed="false"/>
    <row r="65192" customFormat="false" ht="12.75" hidden="false" customHeight="true" outlineLevel="0" collapsed="false"/>
    <row r="65193" customFormat="false" ht="12.75" hidden="false" customHeight="true" outlineLevel="0" collapsed="false"/>
    <row r="65194" customFormat="false" ht="12.75" hidden="false" customHeight="true" outlineLevel="0" collapsed="false"/>
    <row r="65195" customFormat="false" ht="12.75" hidden="false" customHeight="true" outlineLevel="0" collapsed="false"/>
    <row r="65196" customFormat="false" ht="12.75" hidden="false" customHeight="true" outlineLevel="0" collapsed="false"/>
    <row r="65197" customFormat="false" ht="12.75" hidden="false" customHeight="true" outlineLevel="0" collapsed="false"/>
    <row r="65198" customFormat="false" ht="12.75" hidden="false" customHeight="true" outlineLevel="0" collapsed="false"/>
    <row r="65199" customFormat="false" ht="12.75" hidden="false" customHeight="true" outlineLevel="0" collapsed="false"/>
    <row r="65200" customFormat="false" ht="12.75" hidden="false" customHeight="true" outlineLevel="0" collapsed="false"/>
    <row r="65201" customFormat="false" ht="12.75" hidden="false" customHeight="true" outlineLevel="0" collapsed="false"/>
    <row r="65202" customFormat="false" ht="12.75" hidden="false" customHeight="true" outlineLevel="0" collapsed="false"/>
    <row r="65203" customFormat="false" ht="12.75" hidden="false" customHeight="true" outlineLevel="0" collapsed="false"/>
    <row r="65204" customFormat="false" ht="12.75" hidden="false" customHeight="true" outlineLevel="0" collapsed="false"/>
    <row r="65205" customFormat="false" ht="12.75" hidden="false" customHeight="true" outlineLevel="0" collapsed="false"/>
    <row r="65206" customFormat="false" ht="12.75" hidden="false" customHeight="true" outlineLevel="0" collapsed="false"/>
    <row r="65207" customFormat="false" ht="12.75" hidden="false" customHeight="true" outlineLevel="0" collapsed="false"/>
    <row r="65208" customFormat="false" ht="12.75" hidden="false" customHeight="true" outlineLevel="0" collapsed="false"/>
    <row r="65209" customFormat="false" ht="12.75" hidden="false" customHeight="true" outlineLevel="0" collapsed="false"/>
    <row r="65210" customFormat="false" ht="12.75" hidden="false" customHeight="true" outlineLevel="0" collapsed="false"/>
    <row r="65211" customFormat="false" ht="12.75" hidden="false" customHeight="true" outlineLevel="0" collapsed="false"/>
    <row r="65212" customFormat="false" ht="12.75" hidden="false" customHeight="true" outlineLevel="0" collapsed="false"/>
    <row r="65213" customFormat="false" ht="12.75" hidden="false" customHeight="true" outlineLevel="0" collapsed="false"/>
    <row r="65214" customFormat="false" ht="12.75" hidden="false" customHeight="true" outlineLevel="0" collapsed="false"/>
    <row r="65215" customFormat="false" ht="12.75" hidden="false" customHeight="true" outlineLevel="0" collapsed="false"/>
    <row r="65216" customFormat="false" ht="12.75" hidden="false" customHeight="true" outlineLevel="0" collapsed="false"/>
    <row r="65217" customFormat="false" ht="12.75" hidden="false" customHeight="true" outlineLevel="0" collapsed="false"/>
    <row r="65218" customFormat="false" ht="12.75" hidden="false" customHeight="true" outlineLevel="0" collapsed="false"/>
    <row r="65219" customFormat="false" ht="12.75" hidden="false" customHeight="true" outlineLevel="0" collapsed="false"/>
    <row r="65220" customFormat="false" ht="12.75" hidden="false" customHeight="true" outlineLevel="0" collapsed="false"/>
    <row r="65221" customFormat="false" ht="12.75" hidden="false" customHeight="true" outlineLevel="0" collapsed="false"/>
    <row r="65222" customFormat="false" ht="12.75" hidden="false" customHeight="true" outlineLevel="0" collapsed="false"/>
    <row r="65223" customFormat="false" ht="12.75" hidden="false" customHeight="true" outlineLevel="0" collapsed="false"/>
    <row r="65224" customFormat="false" ht="12.75" hidden="false" customHeight="true" outlineLevel="0" collapsed="false"/>
    <row r="65225" customFormat="false" ht="12.75" hidden="false" customHeight="true" outlineLevel="0" collapsed="false"/>
    <row r="65226" customFormat="false" ht="12.75" hidden="false" customHeight="true" outlineLevel="0" collapsed="false"/>
    <row r="65227" customFormat="false" ht="12.75" hidden="false" customHeight="true" outlineLevel="0" collapsed="false"/>
    <row r="65228" customFormat="false" ht="12.75" hidden="false" customHeight="true" outlineLevel="0" collapsed="false"/>
    <row r="65229" customFormat="false" ht="12.75" hidden="false" customHeight="true" outlineLevel="0" collapsed="false"/>
    <row r="65230" customFormat="false" ht="12.75" hidden="false" customHeight="true" outlineLevel="0" collapsed="false"/>
    <row r="65231" customFormat="false" ht="12.75" hidden="false" customHeight="true" outlineLevel="0" collapsed="false"/>
    <row r="65232" customFormat="false" ht="12.75" hidden="false" customHeight="true" outlineLevel="0" collapsed="false"/>
    <row r="65233" customFormat="false" ht="12.75" hidden="false" customHeight="true" outlineLevel="0" collapsed="false"/>
    <row r="65234" customFormat="false" ht="12.75" hidden="false" customHeight="true" outlineLevel="0" collapsed="false"/>
    <row r="65235" customFormat="false" ht="12.75" hidden="false" customHeight="true" outlineLevel="0" collapsed="false"/>
    <row r="65236" customFormat="false" ht="12.75" hidden="false" customHeight="true" outlineLevel="0" collapsed="false"/>
    <row r="65237" customFormat="false" ht="12.75" hidden="false" customHeight="true" outlineLevel="0" collapsed="false"/>
    <row r="65238" customFormat="false" ht="12.75" hidden="false" customHeight="true" outlineLevel="0" collapsed="false"/>
    <row r="65239" customFormat="false" ht="12.75" hidden="false" customHeight="true" outlineLevel="0" collapsed="false"/>
    <row r="65240" customFormat="false" ht="12.75" hidden="false" customHeight="true" outlineLevel="0" collapsed="false"/>
    <row r="65241" customFormat="false" ht="12.75" hidden="false" customHeight="true" outlineLevel="0" collapsed="false"/>
    <row r="65242" customFormat="false" ht="12.75" hidden="false" customHeight="true" outlineLevel="0" collapsed="false"/>
    <row r="65243" customFormat="false" ht="12.75" hidden="false" customHeight="true" outlineLevel="0" collapsed="false"/>
    <row r="65244" customFormat="false" ht="12.75" hidden="false" customHeight="true" outlineLevel="0" collapsed="false"/>
    <row r="65245" customFormat="false" ht="12.75" hidden="false" customHeight="true" outlineLevel="0" collapsed="false"/>
    <row r="65246" customFormat="false" ht="12.75" hidden="false" customHeight="true" outlineLevel="0" collapsed="false"/>
    <row r="65247" customFormat="false" ht="12.75" hidden="false" customHeight="true" outlineLevel="0" collapsed="false"/>
    <row r="65248" customFormat="false" ht="12.75" hidden="false" customHeight="true" outlineLevel="0" collapsed="false"/>
    <row r="65249" customFormat="false" ht="12.75" hidden="false" customHeight="true" outlineLevel="0" collapsed="false"/>
    <row r="65250" customFormat="false" ht="12.75" hidden="false" customHeight="true" outlineLevel="0" collapsed="false"/>
    <row r="65251" customFormat="false" ht="12.75" hidden="false" customHeight="true" outlineLevel="0" collapsed="false"/>
    <row r="65252" customFormat="false" ht="12.75" hidden="false" customHeight="true" outlineLevel="0" collapsed="false"/>
    <row r="65253" customFormat="false" ht="12.75" hidden="false" customHeight="true" outlineLevel="0" collapsed="false"/>
    <row r="65254" customFormat="false" ht="12.75" hidden="false" customHeight="true" outlineLevel="0" collapsed="false"/>
    <row r="65255" customFormat="false" ht="12.75" hidden="false" customHeight="true" outlineLevel="0" collapsed="false"/>
    <row r="65256" customFormat="false" ht="12.75" hidden="false" customHeight="true" outlineLevel="0" collapsed="false"/>
    <row r="65257" customFormat="false" ht="12.75" hidden="false" customHeight="true" outlineLevel="0" collapsed="false"/>
    <row r="65258" customFormat="false" ht="12.75" hidden="false" customHeight="true" outlineLevel="0" collapsed="false"/>
    <row r="65259" customFormat="false" ht="12.75" hidden="false" customHeight="true" outlineLevel="0" collapsed="false"/>
    <row r="65260" customFormat="false" ht="12.75" hidden="false" customHeight="true" outlineLevel="0" collapsed="false"/>
    <row r="65261" customFormat="false" ht="12.75" hidden="false" customHeight="true" outlineLevel="0" collapsed="false"/>
    <row r="65262" customFormat="false" ht="12.75" hidden="false" customHeight="true" outlineLevel="0" collapsed="false"/>
    <row r="65263" customFormat="false" ht="12.75" hidden="false" customHeight="true" outlineLevel="0" collapsed="false"/>
    <row r="65264" customFormat="false" ht="12.75" hidden="false" customHeight="true" outlineLevel="0" collapsed="false"/>
    <row r="65265" customFormat="false" ht="12.75" hidden="false" customHeight="true" outlineLevel="0" collapsed="false"/>
    <row r="65266" customFormat="false" ht="12.75" hidden="false" customHeight="true" outlineLevel="0" collapsed="false"/>
    <row r="65267" customFormat="false" ht="12.75" hidden="false" customHeight="true" outlineLevel="0" collapsed="false"/>
    <row r="65268" customFormat="false" ht="12.75" hidden="false" customHeight="true" outlineLevel="0" collapsed="false"/>
    <row r="65269" customFormat="false" ht="12.75" hidden="false" customHeight="true" outlineLevel="0" collapsed="false"/>
    <row r="65270" customFormat="false" ht="12.75" hidden="false" customHeight="true" outlineLevel="0" collapsed="false"/>
    <row r="65271" customFormat="false" ht="12.75" hidden="false" customHeight="true" outlineLevel="0" collapsed="false"/>
    <row r="65272" customFormat="false" ht="12.75" hidden="false" customHeight="true" outlineLevel="0" collapsed="false"/>
    <row r="65273" customFormat="false" ht="12.75" hidden="false" customHeight="true" outlineLevel="0" collapsed="false"/>
    <row r="65274" customFormat="false" ht="12.75" hidden="false" customHeight="true" outlineLevel="0" collapsed="false"/>
    <row r="65275" customFormat="false" ht="12.75" hidden="false" customHeight="true" outlineLevel="0" collapsed="false"/>
    <row r="65276" customFormat="false" ht="12.75" hidden="false" customHeight="true" outlineLevel="0" collapsed="false"/>
    <row r="65277" customFormat="false" ht="12.75" hidden="false" customHeight="true" outlineLevel="0" collapsed="false"/>
    <row r="65278" customFormat="false" ht="12.75" hidden="false" customHeight="true" outlineLevel="0" collapsed="false"/>
    <row r="65279" customFormat="false" ht="12.75" hidden="false" customHeight="true" outlineLevel="0" collapsed="false"/>
    <row r="65280" customFormat="false" ht="12.75" hidden="false" customHeight="true" outlineLevel="0" collapsed="false"/>
    <row r="65281" customFormat="false" ht="12.75" hidden="false" customHeight="true" outlineLevel="0" collapsed="false"/>
    <row r="65282" customFormat="false" ht="12.75" hidden="false" customHeight="true" outlineLevel="0" collapsed="false"/>
    <row r="65283" customFormat="false" ht="12.75" hidden="false" customHeight="true" outlineLevel="0" collapsed="false"/>
    <row r="65284" customFormat="false" ht="12.75" hidden="false" customHeight="true" outlineLevel="0" collapsed="false"/>
    <row r="65285" customFormat="false" ht="12.75" hidden="false" customHeight="true" outlineLevel="0" collapsed="false"/>
    <row r="65286" customFormat="false" ht="12.75" hidden="false" customHeight="true" outlineLevel="0" collapsed="false"/>
    <row r="65287" customFormat="false" ht="12.75" hidden="false" customHeight="true" outlineLevel="0" collapsed="false"/>
    <row r="65288" customFormat="false" ht="12.75" hidden="false" customHeight="true" outlineLevel="0" collapsed="false"/>
    <row r="65289" customFormat="false" ht="12.75" hidden="false" customHeight="true" outlineLevel="0" collapsed="false"/>
    <row r="65290" customFormat="false" ht="12.75" hidden="false" customHeight="true" outlineLevel="0" collapsed="false"/>
    <row r="65291" customFormat="false" ht="12.75" hidden="false" customHeight="true" outlineLevel="0" collapsed="false"/>
    <row r="65292" customFormat="false" ht="12.75" hidden="false" customHeight="true" outlineLevel="0" collapsed="false"/>
    <row r="65293" customFormat="false" ht="12.75" hidden="false" customHeight="true" outlineLevel="0" collapsed="false"/>
    <row r="65294" customFormat="false" ht="12.75" hidden="false" customHeight="true" outlineLevel="0" collapsed="false"/>
    <row r="65295" customFormat="false" ht="12.75" hidden="false" customHeight="true" outlineLevel="0" collapsed="false"/>
    <row r="65296" customFormat="false" ht="12.75" hidden="false" customHeight="true" outlineLevel="0" collapsed="false"/>
    <row r="65297" customFormat="false" ht="12.75" hidden="false" customHeight="true" outlineLevel="0" collapsed="false"/>
    <row r="65298" customFormat="false" ht="12.75" hidden="false" customHeight="true" outlineLevel="0" collapsed="false"/>
    <row r="65299" customFormat="false" ht="12.75" hidden="false" customHeight="true" outlineLevel="0" collapsed="false"/>
    <row r="65300" customFormat="false" ht="12.75" hidden="false" customHeight="true" outlineLevel="0" collapsed="false"/>
    <row r="65301" customFormat="false" ht="12.75" hidden="false" customHeight="true" outlineLevel="0" collapsed="false"/>
    <row r="65302" customFormat="false" ht="12.75" hidden="false" customHeight="true" outlineLevel="0" collapsed="false"/>
    <row r="65303" customFormat="false" ht="12.75" hidden="false" customHeight="true" outlineLevel="0" collapsed="false"/>
    <row r="65304" customFormat="false" ht="12.75" hidden="false" customHeight="true" outlineLevel="0" collapsed="false"/>
    <row r="65305" customFormat="false" ht="12.75" hidden="false" customHeight="true" outlineLevel="0" collapsed="false"/>
    <row r="65306" customFormat="false" ht="12.75" hidden="false" customHeight="true" outlineLevel="0" collapsed="false"/>
    <row r="65307" customFormat="false" ht="12.75" hidden="false" customHeight="true" outlineLevel="0" collapsed="false"/>
    <row r="65308" customFormat="false" ht="12.75" hidden="false" customHeight="true" outlineLevel="0" collapsed="false"/>
    <row r="65309" customFormat="false" ht="12.75" hidden="false" customHeight="true" outlineLevel="0" collapsed="false"/>
    <row r="65310" customFormat="false" ht="12.75" hidden="false" customHeight="true" outlineLevel="0" collapsed="false"/>
    <row r="65311" customFormat="false" ht="12.75" hidden="false" customHeight="true" outlineLevel="0" collapsed="false"/>
    <row r="65312" customFormat="false" ht="12.75" hidden="false" customHeight="true" outlineLevel="0" collapsed="false"/>
    <row r="65313" customFormat="false" ht="12.75" hidden="false" customHeight="true" outlineLevel="0" collapsed="false"/>
    <row r="65314" customFormat="false" ht="12.75" hidden="false" customHeight="true" outlineLevel="0" collapsed="false"/>
    <row r="65315" customFormat="false" ht="12.75" hidden="false" customHeight="true" outlineLevel="0" collapsed="false"/>
    <row r="65316" customFormat="false" ht="12.75" hidden="false" customHeight="true" outlineLevel="0" collapsed="false"/>
    <row r="65317" customFormat="false" ht="12.75" hidden="false" customHeight="true" outlineLevel="0" collapsed="false"/>
    <row r="65318" customFormat="false" ht="12.75" hidden="false" customHeight="true" outlineLevel="0" collapsed="false"/>
    <row r="65319" customFormat="false" ht="12.75" hidden="false" customHeight="true" outlineLevel="0" collapsed="false"/>
    <row r="65320" customFormat="false" ht="12.75" hidden="false" customHeight="true" outlineLevel="0" collapsed="false"/>
    <row r="65321" customFormat="false" ht="12.75" hidden="false" customHeight="true" outlineLevel="0" collapsed="false"/>
    <row r="65322" customFormat="false" ht="12.75" hidden="false" customHeight="true" outlineLevel="0" collapsed="false"/>
    <row r="65323" customFormat="false" ht="12.75" hidden="false" customHeight="true" outlineLevel="0" collapsed="false"/>
    <row r="65324" customFormat="false" ht="12.75" hidden="false" customHeight="true" outlineLevel="0" collapsed="false"/>
    <row r="65325" customFormat="false" ht="12.75" hidden="false" customHeight="true" outlineLevel="0" collapsed="false"/>
    <row r="65326" customFormat="false" ht="12.75" hidden="false" customHeight="true" outlineLevel="0" collapsed="false"/>
    <row r="65327" customFormat="false" ht="12.75" hidden="false" customHeight="true" outlineLevel="0" collapsed="false"/>
  </sheetData>
  <sheetProtection algorithmName="SHA-512" hashValue="1R50FbkJSsPL0AuUanO5ZTsRJr2YCPZUcRBB/ptnDtmakD0aI6LsmdRaJ4x6QhpXKjc77PBwYqzuC2UXQzx83g==" saltValue="iIwU8FGXAsFzgTmvnUbdmQ==" spinCount="100000" sheet="true" objects="true" scenarios="true" autoFilter="false"/>
  <autoFilter ref="C15:C59"/>
  <mergeCells count="15">
    <mergeCell ref="F6:H6"/>
    <mergeCell ref="Q6:R6"/>
    <mergeCell ref="Y6:Z6"/>
    <mergeCell ref="F7:H7"/>
    <mergeCell ref="Q7:R7"/>
    <mergeCell ref="Y7:Z7"/>
    <mergeCell ref="E9:F9"/>
    <mergeCell ref="G9:H9"/>
    <mergeCell ref="S9:T9"/>
    <mergeCell ref="U9:Z9"/>
    <mergeCell ref="E10:F10"/>
    <mergeCell ref="G10:H10"/>
    <mergeCell ref="S10:T10"/>
    <mergeCell ref="U10:Z10"/>
    <mergeCell ref="E15:H15"/>
  </mergeCells>
  <conditionalFormatting sqref="H50">
    <cfRule type="expression" priority="2" aboveAverage="0" equalAverage="0" bottom="0" percent="0" rank="0" text="" dxfId="204">
      <formula>$J50="►S"</formula>
    </cfRule>
  </conditionalFormatting>
  <conditionalFormatting sqref="H50">
    <cfRule type="expression" priority="3" aboveAverage="0" equalAverage="0" bottom="0" percent="0" rank="0" text="" dxfId="205">
      <formula>$B50=1</formula>
    </cfRule>
    <cfRule type="expression" priority="4" aboveAverage="0" equalAverage="0" bottom="0" percent="0" rank="0" text="" dxfId="206">
      <formula>OR($B50=0,$B50=2,$B50=3,$B50=4)</formula>
    </cfRule>
  </conditionalFormatting>
  <conditionalFormatting sqref="Q50:AA50">
    <cfRule type="expression" priority="5" aboveAverage="0" equalAverage="0" bottom="0" percent="0" rank="0" text="" dxfId="207">
      <formula>Q50&lt;&gt;ROUND(Q50,2)</formula>
    </cfRule>
  </conditionalFormatting>
  <conditionalFormatting sqref="N50">
    <cfRule type="expression" priority="6" aboveAverage="0" equalAverage="0" bottom="0" percent="0" rank="0" text="" dxfId="208">
      <formula>$J50="►"</formula>
    </cfRule>
  </conditionalFormatting>
  <conditionalFormatting sqref="D50:G50 I50">
    <cfRule type="expression" priority="7" aboveAverage="0" equalAverage="0" bottom="0" percent="0" rank="0" text="" dxfId="209">
      <formula>$B50=1</formula>
    </cfRule>
    <cfRule type="expression" priority="8" aboveAverage="0" equalAverage="0" bottom="0" percent="0" rank="0" text="" dxfId="210">
      <formula>OR($B50=0,$B50=2,$B50=3,$B50=4)</formula>
    </cfRule>
  </conditionalFormatting>
  <conditionalFormatting sqref="H49 H51">
    <cfRule type="expression" priority="9" aboveAverage="0" equalAverage="0" bottom="0" percent="0" rank="0" text="" dxfId="211">
      <formula>$J49="►S"</formula>
    </cfRule>
  </conditionalFormatting>
  <conditionalFormatting sqref="H49 H51">
    <cfRule type="expression" priority="10" aboveAverage="0" equalAverage="0" bottom="0" percent="0" rank="0" text="" dxfId="212">
      <formula>$B49=1</formula>
    </cfRule>
    <cfRule type="expression" priority="11" aboveAverage="0" equalAverage="0" bottom="0" percent="0" rank="0" text="" dxfId="213">
      <formula>OR($B49=0,$B49=2,$B49=3,$B49=4)</formula>
    </cfRule>
  </conditionalFormatting>
  <conditionalFormatting sqref="Q49:AA49 Q51:AA51">
    <cfRule type="expression" priority="12" aboveAverage="0" equalAverage="0" bottom="0" percent="0" rank="0" text="" dxfId="214">
      <formula>Q49&lt;&gt;ROUND(Q49,2)</formula>
    </cfRule>
  </conditionalFormatting>
  <conditionalFormatting sqref="N49 N51">
    <cfRule type="expression" priority="13" aboveAverage="0" equalAverage="0" bottom="0" percent="0" rank="0" text="" dxfId="215">
      <formula>$J49="►"</formula>
    </cfRule>
  </conditionalFormatting>
  <conditionalFormatting sqref="D49:G49 I49 I51 D51:G51">
    <cfRule type="expression" priority="14" aboveAverage="0" equalAverage="0" bottom="0" percent="0" rank="0" text="" dxfId="216">
      <formula>$B49=1</formula>
    </cfRule>
    <cfRule type="expression" priority="15" aboveAverage="0" equalAverage="0" bottom="0" percent="0" rank="0" text="" dxfId="217">
      <formula>OR($B49=0,$B49=2,$B49=3,$B49=4)</formula>
    </cfRule>
  </conditionalFormatting>
  <conditionalFormatting sqref="H38">
    <cfRule type="expression" priority="16" aboveAverage="0" equalAverage="0" bottom="0" percent="0" rank="0" text="" dxfId="218">
      <formula>$B38=1</formula>
    </cfRule>
    <cfRule type="expression" priority="17" aboveAverage="0" equalAverage="0" bottom="0" percent="0" rank="0" text="" dxfId="219">
      <formula>OR($B38=0,$B38=2,$B38=3,$B38=4)</formula>
    </cfRule>
  </conditionalFormatting>
  <conditionalFormatting sqref="Q38:AA38">
    <cfRule type="expression" priority="18" aboveAverage="0" equalAverage="0" bottom="0" percent="0" rank="0" text="" dxfId="220">
      <formula>Q38&lt;&gt;ROUND(Q38,2)</formula>
    </cfRule>
  </conditionalFormatting>
  <conditionalFormatting sqref="H43:H48 H52:H54">
    <cfRule type="expression" priority="19" aboveAverage="0" equalAverage="0" bottom="0" percent="0" rank="0" text="" dxfId="221">
      <formula>$J43="►S"</formula>
    </cfRule>
  </conditionalFormatting>
  <conditionalFormatting sqref="H43:H48 H52:H54">
    <cfRule type="expression" priority="20" aboveAverage="0" equalAverage="0" bottom="0" percent="0" rank="0" text="" dxfId="222">
      <formula>$B43=1</formula>
    </cfRule>
    <cfRule type="expression" priority="21" aboveAverage="0" equalAverage="0" bottom="0" percent="0" rank="0" text="" dxfId="223">
      <formula>OR($B43=0,$B43=2,$B43=3,$B43=4)</formula>
    </cfRule>
  </conditionalFormatting>
  <conditionalFormatting sqref="Q43:AA48 Q52:AA54">
    <cfRule type="expression" priority="22" aboveAverage="0" equalAverage="0" bottom="0" percent="0" rank="0" text="" dxfId="224">
      <formula>Q43&lt;&gt;ROUND(Q43,2)</formula>
    </cfRule>
  </conditionalFormatting>
  <conditionalFormatting sqref="N43:N48 N52:N54">
    <cfRule type="expression" priority="23" aboveAverage="0" equalAverage="0" bottom="0" percent="0" rank="0" text="" dxfId="225">
      <formula>$J43="►"</formula>
    </cfRule>
  </conditionalFormatting>
  <conditionalFormatting sqref="D43:G48 I43:I48 I52:I54 D52:G54">
    <cfRule type="expression" priority="24" aboveAverage="0" equalAverage="0" bottom="0" percent="0" rank="0" text="" dxfId="226">
      <formula>$B43=1</formula>
    </cfRule>
    <cfRule type="expression" priority="25" aboveAverage="0" equalAverage="0" bottom="0" percent="0" rank="0" text="" dxfId="227">
      <formula>OR($B43=0,$B43=2,$B43=3,$B43=4)</formula>
    </cfRule>
  </conditionalFormatting>
  <conditionalFormatting sqref="H42">
    <cfRule type="expression" priority="26" aboveAverage="0" equalAverage="0" bottom="0" percent="0" rank="0" text="" dxfId="228">
      <formula>$J42="►S"</formula>
    </cfRule>
  </conditionalFormatting>
  <conditionalFormatting sqref="H42">
    <cfRule type="expression" priority="27" aboveAverage="0" equalAverage="0" bottom="0" percent="0" rank="0" text="" dxfId="229">
      <formula>$B42=1</formula>
    </cfRule>
    <cfRule type="expression" priority="28" aboveAverage="0" equalAverage="0" bottom="0" percent="0" rank="0" text="" dxfId="230">
      <formula>OR($B42=0,$B42=2,$B42=3,$B42=4)</formula>
    </cfRule>
  </conditionalFormatting>
  <conditionalFormatting sqref="Q42:AA42">
    <cfRule type="expression" priority="29" aboveAverage="0" equalAverage="0" bottom="0" percent="0" rank="0" text="" dxfId="231">
      <formula>Q42&lt;&gt;ROUND(Q42,2)</formula>
    </cfRule>
  </conditionalFormatting>
  <conditionalFormatting sqref="N42">
    <cfRule type="expression" priority="30" aboveAverage="0" equalAverage="0" bottom="0" percent="0" rank="0" text="" dxfId="232">
      <formula>$J42="►"</formula>
    </cfRule>
  </conditionalFormatting>
  <conditionalFormatting sqref="D42:G42 I42">
    <cfRule type="expression" priority="31" aboveAverage="0" equalAverage="0" bottom="0" percent="0" rank="0" text="" dxfId="233">
      <formula>$B42=1</formula>
    </cfRule>
    <cfRule type="expression" priority="32" aboveAverage="0" equalAverage="0" bottom="0" percent="0" rank="0" text="" dxfId="234">
      <formula>OR($B42=0,$B42=2,$B42=3,$B42=4)</formula>
    </cfRule>
  </conditionalFormatting>
  <conditionalFormatting sqref="H41">
    <cfRule type="expression" priority="33" aboveAverage="0" equalAverage="0" bottom="0" percent="0" rank="0" text="" dxfId="235">
      <formula>$J41="►S"</formula>
    </cfRule>
  </conditionalFormatting>
  <conditionalFormatting sqref="H41">
    <cfRule type="expression" priority="34" aboveAverage="0" equalAverage="0" bottom="0" percent="0" rank="0" text="" dxfId="236">
      <formula>$B41=1</formula>
    </cfRule>
    <cfRule type="expression" priority="35" aboveAverage="0" equalAverage="0" bottom="0" percent="0" rank="0" text="" dxfId="237">
      <formula>OR($B41=0,$B41=2,$B41=3,$B41=4)</formula>
    </cfRule>
  </conditionalFormatting>
  <conditionalFormatting sqref="Q41:AA41">
    <cfRule type="expression" priority="36" aboveAverage="0" equalAverage="0" bottom="0" percent="0" rank="0" text="" dxfId="238">
      <formula>Q41&lt;&gt;ROUND(Q41,2)</formula>
    </cfRule>
  </conditionalFormatting>
  <conditionalFormatting sqref="N41">
    <cfRule type="expression" priority="37" aboveAverage="0" equalAverage="0" bottom="0" percent="0" rank="0" text="" dxfId="239">
      <formula>$J41="►"</formula>
    </cfRule>
  </conditionalFormatting>
  <conditionalFormatting sqref="D41:G41 I41">
    <cfRule type="expression" priority="38" aboveAverage="0" equalAverage="0" bottom="0" percent="0" rank="0" text="" dxfId="240">
      <formula>$B41=1</formula>
    </cfRule>
    <cfRule type="expression" priority="39" aboveAverage="0" equalAverage="0" bottom="0" percent="0" rank="0" text="" dxfId="241">
      <formula>OR($B41=0,$B41=2,$B41=3,$B41=4)</formula>
    </cfRule>
  </conditionalFormatting>
  <conditionalFormatting sqref="H55">
    <cfRule type="expression" priority="40" aboveAverage="0" equalAverage="0" bottom="0" percent="0" rank="0" text="" dxfId="242">
      <formula>$J55="►S"</formula>
    </cfRule>
  </conditionalFormatting>
  <conditionalFormatting sqref="H55">
    <cfRule type="expression" priority="41" aboveAverage="0" equalAverage="0" bottom="0" percent="0" rank="0" text="" dxfId="243">
      <formula>$B55=1</formula>
    </cfRule>
    <cfRule type="expression" priority="42" aboveAverage="0" equalAverage="0" bottom="0" percent="0" rank="0" text="" dxfId="244">
      <formula>OR($B55=0,$B55=2,$B55=3,$B55=4)</formula>
    </cfRule>
  </conditionalFormatting>
  <conditionalFormatting sqref="Q55:AA55">
    <cfRule type="expression" priority="43" aboveAverage="0" equalAverage="0" bottom="0" percent="0" rank="0" text="" dxfId="245">
      <formula>Q55&lt;&gt;ROUND(Q55,2)</formula>
    </cfRule>
  </conditionalFormatting>
  <conditionalFormatting sqref="N55">
    <cfRule type="expression" priority="44" aboveAverage="0" equalAverage="0" bottom="0" percent="0" rank="0" text="" dxfId="246">
      <formula>$J55="►"</formula>
    </cfRule>
  </conditionalFormatting>
  <conditionalFormatting sqref="D55:G55 I55">
    <cfRule type="expression" priority="45" aboveAverage="0" equalAverage="0" bottom="0" percent="0" rank="0" text="" dxfId="247">
      <formula>$B55=1</formula>
    </cfRule>
    <cfRule type="expression" priority="46" aboveAverage="0" equalAverage="0" bottom="0" percent="0" rank="0" text="" dxfId="248">
      <formula>OR($B55=0,$B55=2,$B55=3,$B55=4)</formula>
    </cfRule>
  </conditionalFormatting>
  <conditionalFormatting sqref="H37">
    <cfRule type="expression" priority="47" aboveAverage="0" equalAverage="0" bottom="0" percent="0" rank="0" text="" dxfId="249">
      <formula>$B37=1</formula>
    </cfRule>
    <cfRule type="expression" priority="48" aboveAverage="0" equalAverage="0" bottom="0" percent="0" rank="0" text="" dxfId="250">
      <formula>OR($B37=0,$B37=2,$B37=3,$B37=4)</formula>
    </cfRule>
  </conditionalFormatting>
  <conditionalFormatting sqref="Q37:AA37">
    <cfRule type="expression" priority="49" aboveAverage="0" equalAverage="0" bottom="0" percent="0" rank="0" text="" dxfId="251">
      <formula>Q37&lt;&gt;ROUND(Q37,2)</formula>
    </cfRule>
  </conditionalFormatting>
  <conditionalFormatting sqref="H40">
    <cfRule type="expression" priority="50" aboveAverage="0" equalAverage="0" bottom="0" percent="0" rank="0" text="" dxfId="252">
      <formula>$J40="►S"</formula>
    </cfRule>
  </conditionalFormatting>
  <conditionalFormatting sqref="H40">
    <cfRule type="expression" priority="51" aboveAverage="0" equalAverage="0" bottom="0" percent="0" rank="0" text="" dxfId="253">
      <formula>$B40=1</formula>
    </cfRule>
    <cfRule type="expression" priority="52" aboveAverage="0" equalAverage="0" bottom="0" percent="0" rank="0" text="" dxfId="254">
      <formula>OR($B40=0,$B40=2,$B40=3,$B40=4)</formula>
    </cfRule>
  </conditionalFormatting>
  <conditionalFormatting sqref="Q40:AA40">
    <cfRule type="expression" priority="53" aboveAverage="0" equalAverage="0" bottom="0" percent="0" rank="0" text="" dxfId="255">
      <formula>Q40&lt;&gt;ROUND(Q40,2)</formula>
    </cfRule>
  </conditionalFormatting>
  <conditionalFormatting sqref="N40">
    <cfRule type="expression" priority="54" aboveAverage="0" equalAverage="0" bottom="0" percent="0" rank="0" text="" dxfId="256">
      <formula>$J40="►"</formula>
    </cfRule>
  </conditionalFormatting>
  <conditionalFormatting sqref="D40:G40 I40">
    <cfRule type="expression" priority="55" aboveAverage="0" equalAverage="0" bottom="0" percent="0" rank="0" text="" dxfId="257">
      <formula>$B40=1</formula>
    </cfRule>
    <cfRule type="expression" priority="56" aboveAverage="0" equalAverage="0" bottom="0" percent="0" rank="0" text="" dxfId="258">
      <formula>OR($B40=0,$B40=2,$B40=3,$B40=4)</formula>
    </cfRule>
  </conditionalFormatting>
  <conditionalFormatting sqref="H32:H34 H39 H56:H58">
    <cfRule type="expression" priority="57" aboveAverage="0" equalAverage="0" bottom="0" percent="0" rank="0" text="" dxfId="259">
      <formula>$J32="►S"</formula>
    </cfRule>
  </conditionalFormatting>
  <conditionalFormatting sqref="H32:H34 H39 H56:H58">
    <cfRule type="expression" priority="58" aboveAverage="0" equalAverage="0" bottom="0" percent="0" rank="0" text="" dxfId="260">
      <formula>$B32=1</formula>
    </cfRule>
    <cfRule type="expression" priority="59" aboveAverage="0" equalAverage="0" bottom="0" percent="0" rank="0" text="" dxfId="261">
      <formula>OR($B32=0,$B32=2,$B32=3,$B32=4)</formula>
    </cfRule>
  </conditionalFormatting>
  <conditionalFormatting sqref="Q32:AA34 Q39:AA39 Q56:AA58">
    <cfRule type="expression" priority="60" aboveAverage="0" equalAverage="0" bottom="0" percent="0" rank="0" text="" dxfId="262">
      <formula>Q32&lt;&gt;ROUND(Q32,2)</formula>
    </cfRule>
  </conditionalFormatting>
  <conditionalFormatting sqref="N32:N34 N39 N56:N58">
    <cfRule type="expression" priority="61" aboveAverage="0" equalAverage="0" bottom="0" percent="0" rank="0" text="" dxfId="263">
      <formula>$J32="►"</formula>
    </cfRule>
  </conditionalFormatting>
  <conditionalFormatting sqref="D32:G34 I32:I34 I39 D39:G39 D56:G58 I56:I58">
    <cfRule type="expression" priority="62" aboveAverage="0" equalAverage="0" bottom="0" percent="0" rank="0" text="" dxfId="264">
      <formula>$B32=1</formula>
    </cfRule>
    <cfRule type="expression" priority="63" aboveAverage="0" equalAverage="0" bottom="0" percent="0" rank="0" text="" dxfId="265">
      <formula>OR($B32=0,$B32=2,$B32=3,$B32=4)</formula>
    </cfRule>
  </conditionalFormatting>
  <conditionalFormatting sqref="H21">
    <cfRule type="expression" priority="64" aboveAverage="0" equalAverage="0" bottom="0" percent="0" rank="0" text="" dxfId="266">
      <formula>$J21="►S"</formula>
    </cfRule>
  </conditionalFormatting>
  <conditionalFormatting sqref="H21">
    <cfRule type="expression" priority="65" aboveAverage="0" equalAverage="0" bottom="0" percent="0" rank="0" text="" dxfId="267">
      <formula>$B21=1</formula>
    </cfRule>
    <cfRule type="expression" priority="66" aboveAverage="0" equalAverage="0" bottom="0" percent="0" rank="0" text="" dxfId="268">
      <formula>OR($B21=0,$B21=2,$B21=3,$B21=4)</formula>
    </cfRule>
  </conditionalFormatting>
  <conditionalFormatting sqref="Q21:AA21">
    <cfRule type="expression" priority="67" aboveAverage="0" equalAverage="0" bottom="0" percent="0" rank="0" text="" dxfId="269">
      <formula>Q21&lt;&gt;ROUND(Q21,2)</formula>
    </cfRule>
  </conditionalFormatting>
  <conditionalFormatting sqref="N21">
    <cfRule type="expression" priority="68" aboveAverage="0" equalAverage="0" bottom="0" percent="0" rank="0" text="" dxfId="270">
      <formula>$J21="►"</formula>
    </cfRule>
  </conditionalFormatting>
  <conditionalFormatting sqref="D21:G21 I21">
    <cfRule type="expression" priority="69" aboveAverage="0" equalAverage="0" bottom="0" percent="0" rank="0" text="" dxfId="271">
      <formula>$B21=1</formula>
    </cfRule>
    <cfRule type="expression" priority="70" aboveAverage="0" equalAverage="0" bottom="0" percent="0" rank="0" text="" dxfId="272">
      <formula>OR($B21=0,$B21=2,$B21=3,$B21=4)</formula>
    </cfRule>
  </conditionalFormatting>
  <conditionalFormatting sqref="H24:H25">
    <cfRule type="expression" priority="71" aboveAverage="0" equalAverage="0" bottom="0" percent="0" rank="0" text="" dxfId="273">
      <formula>$J24="►S"</formula>
    </cfRule>
  </conditionalFormatting>
  <conditionalFormatting sqref="H24:H25">
    <cfRule type="expression" priority="72" aboveAverage="0" equalAverage="0" bottom="0" percent="0" rank="0" text="" dxfId="274">
      <formula>$B24=1</formula>
    </cfRule>
    <cfRule type="expression" priority="73" aboveAverage="0" equalAverage="0" bottom="0" percent="0" rank="0" text="" dxfId="275">
      <formula>OR($B24=0,$B24=2,$B24=3,$B24=4)</formula>
    </cfRule>
  </conditionalFormatting>
  <conditionalFormatting sqref="Q24:AA25">
    <cfRule type="expression" priority="74" aboveAverage="0" equalAverage="0" bottom="0" percent="0" rank="0" text="" dxfId="276">
      <formula>Q24&lt;&gt;ROUND(Q24,2)</formula>
    </cfRule>
  </conditionalFormatting>
  <conditionalFormatting sqref="N24:N25">
    <cfRule type="expression" priority="75" aboveAverage="0" equalAverage="0" bottom="0" percent="0" rank="0" text="" dxfId="277">
      <formula>$J24="►"</formula>
    </cfRule>
  </conditionalFormatting>
  <conditionalFormatting sqref="D24:G25 I24:I25">
    <cfRule type="expression" priority="76" aboveAverage="0" equalAverage="0" bottom="0" percent="0" rank="0" text="" dxfId="278">
      <formula>$B24=1</formula>
    </cfRule>
    <cfRule type="expression" priority="77" aboveAverage="0" equalAverage="0" bottom="0" percent="0" rank="0" text="" dxfId="279">
      <formula>OR($B24=0,$B24=2,$B24=3,$B24=4)</formula>
    </cfRule>
  </conditionalFormatting>
  <conditionalFormatting sqref="H16:H20 H26:H27 H22:H23">
    <cfRule type="expression" priority="78" aboveAverage="0" equalAverage="0" bottom="0" percent="0" rank="0" text="" dxfId="280">
      <formula>$J16="►S"</formula>
    </cfRule>
  </conditionalFormatting>
  <conditionalFormatting sqref="H16:H20 H26:H27 H22:H23">
    <cfRule type="expression" priority="79" aboveAverage="0" equalAverage="0" bottom="0" percent="0" rank="0" text="" dxfId="281">
      <formula>$B16=1</formula>
    </cfRule>
    <cfRule type="expression" priority="80" aboveAverage="0" equalAverage="0" bottom="0" percent="0" rank="0" text="" dxfId="282">
      <formula>OR($B16=0,$B16=2,$B16=3,$B16=4)</formula>
    </cfRule>
  </conditionalFormatting>
  <conditionalFormatting sqref="Q16:AA20 Q26:AA27 Q22:AA23">
    <cfRule type="expression" priority="81" aboveAverage="0" equalAverage="0" bottom="0" percent="0" rank="0" text="" dxfId="283">
      <formula>Q16&lt;&gt;ROUND(Q16,2)</formula>
    </cfRule>
  </conditionalFormatting>
  <conditionalFormatting sqref="N16:N20 N26:N27 N22:N23">
    <cfRule type="expression" priority="82" aboveAverage="0" equalAverage="0" bottom="0" percent="0" rank="0" text="" dxfId="284">
      <formula>$J16="►"</formula>
    </cfRule>
  </conditionalFormatting>
  <conditionalFormatting sqref="D16:G20 I16:I20 I26:I27 D26:G27 I22:I23 D22:G23">
    <cfRule type="expression" priority="83" aboveAverage="0" equalAverage="0" bottom="0" percent="0" rank="0" text="" dxfId="285">
      <formula>$B16=1</formula>
    </cfRule>
    <cfRule type="expression" priority="84" aboveAverage="0" equalAverage="0" bottom="0" percent="0" rank="0" text="" dxfId="286">
      <formula>OR($B16=0,$B16=2,$B16=3,$B16=4)</formula>
    </cfRule>
  </conditionalFormatting>
  <conditionalFormatting sqref="H14 H28:H31 H35:H38">
    <cfRule type="expression" priority="85" aboveAverage="0" equalAverage="0" bottom="0" percent="0" rank="0" text="" dxfId="287">
      <formula>$J14="►S"</formula>
    </cfRule>
  </conditionalFormatting>
  <conditionalFormatting sqref="H14">
    <cfRule type="expression" priority="86" aboveAverage="0" equalAverage="0" bottom="0" percent="0" rank="0" text="" dxfId="288">
      <formula>$B14=1</formula>
    </cfRule>
    <cfRule type="expression" priority="87" aboveAverage="0" equalAverage="0" bottom="0" percent="0" rank="0" text="" dxfId="289">
      <formula>OR($B14=0,$B14=2,$B14=3,$B14=4)</formula>
    </cfRule>
  </conditionalFormatting>
  <conditionalFormatting sqref="Q14:AA14 Q28:AA31 Q35:AA36">
    <cfRule type="expression" priority="88" aboveAverage="0" equalAverage="0" bottom="0" percent="0" rank="0" text="" dxfId="290">
      <formula>Q14&lt;&gt;ROUND(Q14,2)</formula>
    </cfRule>
  </conditionalFormatting>
  <conditionalFormatting sqref="N12">
    <cfRule type="cellIs" priority="89" operator="notEqual" aboveAverage="0" equalAverage="0" bottom="0" percent="0" rank="0" text="" dxfId="291">
      <formula>"FRENTES DE OBRA:"</formula>
    </cfRule>
  </conditionalFormatting>
  <conditionalFormatting sqref="N14 N28:N31 N35:N38">
    <cfRule type="expression" priority="90" aboveAverage="0" equalAverage="0" bottom="0" percent="0" rank="0" text="" dxfId="292">
      <formula>$J14="►"</formula>
    </cfRule>
  </conditionalFormatting>
  <conditionalFormatting sqref="O15">
    <cfRule type="expression" priority="91" aboveAverage="0" equalAverage="0" bottom="0" percent="0" rank="0" text="" dxfId="293">
      <formula>O$11="▼"</formula>
    </cfRule>
  </conditionalFormatting>
  <conditionalFormatting sqref="O12:AA59">
    <cfRule type="expression" priority="92" aboveAverage="0" equalAverage="0" bottom="0" percent="0" rank="0" text="" dxfId="294">
      <formula>ACOMPANHAMENTO="BM"</formula>
    </cfRule>
    <cfRule type="expression" priority="93" aboveAverage="0" equalAverage="0" bottom="0" percent="0" rank="0" text="" dxfId="295">
      <formula>AND(O$12&lt;&gt;".",OR($B12=0,$B12=2,$B12=3,$B12=4,AND(O$12="",$B12&lt;&gt;"Empty"),OFFSET(O$1,0,-1)=0))</formula>
    </cfRule>
    <cfRule type="expression" priority="94" aboveAverage="0" equalAverage="0" bottom="0" percent="0" rank="0" text="" dxfId="296">
      <formula>AND($B12=1,O$1=1)</formula>
    </cfRule>
  </conditionalFormatting>
  <conditionalFormatting sqref="D14:G14 I14 D28:I31 D37:G38 I37:I38 D35:I36">
    <cfRule type="expression" priority="95" aboveAverage="0" equalAverage="0" bottom="0" percent="0" rank="0" text="" dxfId="297">
      <formula>$B14=1</formula>
    </cfRule>
    <cfRule type="expression" priority="96" aboveAverage="0" equalAverage="0" bottom="0" percent="0" rank="0" text="" dxfId="298">
      <formula>OR($B14=0,$B14=2,$B14=3,$B14=4)</formula>
    </cfRule>
  </conditionalFormatting>
  <conditionalFormatting sqref="M12:N59">
    <cfRule type="expression" priority="97" aboveAverage="0" equalAverage="0" bottom="0" percent="0" rank="0" text="" dxfId="299">
      <formula>ACOMPANHAMENTO="BM"</formula>
    </cfRule>
    <cfRule type="expression" priority="98" aboveAverage="0" equalAverage="0" bottom="0" percent="0" rank="0" text="" dxfId="300">
      <formula>OR($B12=0,$B12=2,$B12=3,$B12=4)</formula>
    </cfRule>
    <cfRule type="expression" priority="99" aboveAverage="0" equalAverage="0" bottom="0" percent="0" rank="0" text="" dxfId="301">
      <formula>$B12=1</formula>
    </cfRule>
  </conditionalFormatting>
  <conditionalFormatting sqref="K12:K59">
    <cfRule type="expression" priority="100" aboveAverage="0" equalAverage="0" bottom="0" percent="0" rank="0" text="" dxfId="302">
      <formula>OR(ACOMPANHAMENTO="BM",$A$12&lt;&gt;"Manual")</formula>
    </cfRule>
    <cfRule type="expression" priority="101" aboveAverage="0" equalAverage="0" bottom="0" percent="0" rank="0" text="" dxfId="303">
      <formula>$B12=1</formula>
    </cfRule>
    <cfRule type="expression" priority="102" aboveAverage="0" equalAverage="0" bottom="0" percent="0" rank="0" text="" dxfId="304">
      <formula>OR($B12=2,$B12=3,$B12=4,$B12=0)</formula>
    </cfRule>
  </conditionalFormatting>
  <conditionalFormatting sqref="Q15:Z15">
    <cfRule type="expression" priority="103" aboveAverage="0" equalAverage="0" bottom="0" percent="0" rank="0" text="" dxfId="305">
      <formula>Q$11="▼"</formula>
    </cfRule>
  </conditionalFormatting>
  <dataValidations count="4">
    <dataValidation allowBlank="true" error="Apenas números decimais maiores que zero." errorStyle="stop" operator="greaterThan" showDropDown="false" showErrorMessage="true" showInputMessage="false" sqref="O14 Q14:Z14 O16:O58 Q16:Z58" type="decimal">
      <formula1>0</formula1>
      <formula2>0</formula2>
    </dataValidation>
    <dataValidation allowBlank="true" errorStyle="stop" operator="between" prompt="A quantidade é digitada nas colunas Q em diante, após preencher o nome das frentes de obra na célula Q12 em diante" showDropDown="false" showErrorMessage="true" showInputMessage="true" sqref="H14 H16:H58" type="none">
      <formula1>0</formula1>
      <formula2>0</formula2>
    </dataValidation>
    <dataValidation allowBlank="true" errorStyle="stop" operator="between" prompt="A frente de obra é uma porção física da obra. Exemplos: Única; Rua A; Rua B; Trecho 01; Trecho 02; 1º Andar; 2º Andar; Copa; Banheiro" showDropDown="false" showErrorMessage="true" showInputMessage="true" sqref="Q12" type="none">
      <formula1>0</formula1>
      <formula2>0</formula2>
    </dataValidation>
    <dataValidation allowBlank="true" error="Selecione um dos eventos da lista suspensa." errorStyle="stop" errorTitle="Erro:" operator="between" prompt="Selecione um dos eventos da lista suspensa.&#10;" showDropDown="false" showErrorMessage="true" showInputMessage="true" sqref="K14 K16:K58" type="list">
      <formula1>EVENTOS.ListaValidacao</formula1>
      <formula2>0</formula2>
    </dataValidation>
  </dataValidations>
  <printOptions headings="false" gridLines="false" gridLinesSet="true" horizontalCentered="true" verticalCentered="false"/>
  <pageMargins left="0.7875" right="0.7875" top="0.786805555555556" bottom="0.786805555555556" header="0.590277777777778" footer="0.590277777777778"/>
  <pageSetup paperSize="9" scale="65" fitToWidth="1" fitToHeight="1" pageOrder="downThenOver" orientation="portrait" blackAndWhite="false" draft="false" cellComments="none" horizontalDpi="300" verticalDpi="300" copies="1"/>
  <headerFooter differentFirst="false" differentOddEven="false">
    <oddHeader>&amp;C&amp;14I</oddHeader>
    <oddFooter>&amp;LPMv3.16&amp;R&amp;P / &amp;N</oddFooter>
  </headerFooter>
  <colBreaks count="1" manualBreakCount="1">
    <brk id="27" man="true" max="65535" min="0"/>
  </col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E79"/>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pane xSplit="3" ySplit="13" topLeftCell="D14" activePane="bottomRight" state="frozen"/>
      <selection pane="topLeft" activeCell="A1" activeCellId="0" sqref="A1"/>
      <selection pane="topRight" activeCell="D1" activeCellId="0" sqref="D1"/>
      <selection pane="bottomLeft" activeCell="A14" activeCellId="0" sqref="A14"/>
      <selection pane="bottomRight" activeCell="A1" activeCellId="0" sqref="A1"/>
    </sheetView>
  </sheetViews>
  <sheetFormatPr defaultColWidth="8.6796875" defaultRowHeight="12.75" customHeight="false" zeroHeight="false" outlineLevelRow="0" outlineLevelCol="0"/>
  <cols>
    <col collapsed="false" customWidth="true" hidden="false" outlineLevel="0" max="1" min="1" style="0" width="3.57"/>
    <col collapsed="false" customWidth="true" hidden="false" outlineLevel="0" max="2" min="2" style="0" width="8.15"/>
    <col collapsed="false" customWidth="true" hidden="false" outlineLevel="0" max="3" min="3" style="0" width="36.86"/>
    <col collapsed="false" customWidth="true" hidden="false" outlineLevel="0" max="4" min="4" style="0" width="0.86"/>
    <col collapsed="false" customWidth="true" hidden="true" outlineLevel="0" max="6" min="5" style="0" width="9.14"/>
    <col collapsed="false" customWidth="true" hidden="false" outlineLevel="0" max="31" min="7" style="0" width="5.57"/>
    <col collapsed="false" customWidth="true" hidden="true" outlineLevel="0" max="32" min="32" style="0" width="5.57"/>
  </cols>
  <sheetData>
    <row r="1" customFormat="false" ht="12.75" hidden="true" customHeight="false" outlineLevel="0" collapsed="false">
      <c r="A1" s="48" t="e">
        <f aca="false">IF(AUTOEVENTO="Manual",IF(EVENTOS!$F1&gt;0,"F",""),IF(AND(B1&gt;0,B1&lt;=MAX(CÁLCULO!$M$15:$M$59)),"F",""))</f>
        <v>#VALUE!</v>
      </c>
      <c r="B1" s="376" t="e">
        <f aca="true">OFFSET(B1,-1,0)+1</f>
        <v>#VALUE!</v>
      </c>
      <c r="C1" s="377" t="e">
        <f aca="true">IF(AUTOEVENTO="Manual",IF($B1&gt;0,OFFSET(EVENTOS!$D$15,$B1-$B$15,0),0),IF(B1&lt;=MAX(CÁLCULO!$M$15:$M$59),VLOOKUP($B1,CÁLCULO!$M$15:$N$59,2,FALSE()),0))</f>
        <v>#VALUE!</v>
      </c>
      <c r="D1" s="378"/>
      <c r="E1" s="379"/>
      <c r="F1" s="0" t="e">
        <f aca="false">IF($C1=0,"",CONCATENATE($B1,". ",$C1))</f>
        <v>#VALUE!</v>
      </c>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row>
    <row r="2" customFormat="false" ht="30" hidden="false" customHeight="true" outlineLevel="0" collapsed="false">
      <c r="G2" s="156" t="s">
        <v>916</v>
      </c>
      <c r="AC2" s="381" t="s">
        <v>871</v>
      </c>
      <c r="AD2" s="381"/>
      <c r="AE2" s="381"/>
    </row>
    <row r="3" customFormat="false" ht="12.75" hidden="false" customHeight="true" outlineLevel="0" collapsed="false">
      <c r="G3" s="156"/>
      <c r="AD3" s="382"/>
      <c r="AE3" s="382"/>
    </row>
    <row r="4" customFormat="false" ht="12.75" hidden="false" customHeight="true" outlineLevel="0" collapsed="false">
      <c r="B4" s="101" t="s">
        <v>712</v>
      </c>
      <c r="C4" s="101"/>
      <c r="D4" s="101"/>
      <c r="G4" s="172" t="s">
        <v>710</v>
      </c>
      <c r="H4" s="172"/>
      <c r="I4" s="172"/>
      <c r="J4" s="172" t="s">
        <v>774</v>
      </c>
      <c r="K4" s="172"/>
      <c r="L4" s="172"/>
      <c r="M4" s="269" t="s">
        <v>872</v>
      </c>
      <c r="N4" s="383"/>
      <c r="P4" s="384"/>
      <c r="Q4" s="384"/>
      <c r="R4" s="384"/>
      <c r="U4" s="270"/>
      <c r="V4" s="384"/>
      <c r="W4" s="384"/>
      <c r="X4" s="384"/>
      <c r="Y4" s="384"/>
      <c r="AD4" s="382"/>
      <c r="AE4" s="385"/>
    </row>
    <row r="5" customFormat="false" ht="12.75" hidden="false" customHeight="true" outlineLevel="0" collapsed="false">
      <c r="B5" s="102" t="str">
        <f aca="false">Import.Proponente</f>
        <v>PREFEITURA MUNICIPAL DE TRAMANDAI</v>
      </c>
      <c r="C5" s="102"/>
      <c r="D5" s="102"/>
      <c r="G5" s="181" t="n">
        <f aca="false">Import.CR</f>
        <v>0</v>
      </c>
      <c r="H5" s="181"/>
      <c r="I5" s="181"/>
      <c r="J5" s="181" t="n">
        <f aca="false">Import.SICONV</f>
        <v>0</v>
      </c>
      <c r="K5" s="181"/>
      <c r="L5" s="181"/>
      <c r="M5" s="274" t="str">
        <f aca="false">Import.Apelido</f>
        <v>REVITALAIZAÇÃO DA ORLA DA BEIRA RIO</v>
      </c>
      <c r="N5" s="274"/>
      <c r="O5" s="274"/>
      <c r="P5" s="274"/>
      <c r="Q5" s="274"/>
      <c r="R5" s="274"/>
      <c r="S5" s="274"/>
      <c r="T5" s="274"/>
      <c r="U5" s="274"/>
      <c r="V5" s="274"/>
      <c r="W5" s="274"/>
      <c r="X5" s="274"/>
      <c r="Y5" s="274"/>
      <c r="Z5" s="274"/>
      <c r="AA5" s="274"/>
      <c r="AB5" s="274"/>
      <c r="AC5" s="274"/>
      <c r="AD5" s="274"/>
      <c r="AE5" s="274"/>
    </row>
    <row r="6" customFormat="false" ht="14.25" hidden="false" customHeight="true" outlineLevel="0" collapsed="false">
      <c r="B6" s="62" t="str">
        <f aca="true" t="array" ref="B6:B6">IF(ACOMPANHAMENTO="BM","NO ACOMPANHAMENTO POR BM, UTILIZE A ABA CRONO",
  IF(MAX($B$14:$B$65)&lt;MAX(CÁLCULO!$M$15:$M$59),"ERRO: NÚMERO DE EVENTOS INSUFICIENTE, CLIQUE EM ATUALIZAR LINHAS",
  IF(ROUND(OFFSET(CRONO!$AG$60,0,-1),2)&lt;&gt;CRONO!$R$51,"ERRO: CRONOGRAMA NÃO FECHA 100%","")))</f>
        <v>NO ACOMPANHAMENTO POR BM, UTILIZE A ABA CRONO</v>
      </c>
    </row>
    <row r="7" customFormat="false" ht="15" hidden="false" customHeight="true" outlineLevel="0" collapsed="false">
      <c r="B7" s="338" t="str">
        <f aca="false" t="array" ref="B7:B7">IF(AdmLocal="Automática","","1. Selecione o Título do Evento da Administração Local:")</f>
        <v>1. Selecione o Título do Evento da Administração Local:</v>
      </c>
    </row>
    <row r="8" customFormat="false" ht="12.75" hidden="false" customHeight="false" outlineLevel="0" collapsed="false">
      <c r="A8" s="386" t="e">
        <f aca="false">MID(Import.EventoAdmLocal,1,SEARCH(".",Import.EventoAdmLocal)-1)</f>
        <v>#VALUE!</v>
      </c>
      <c r="B8" s="387"/>
      <c r="C8" s="387"/>
      <c r="D8" s="109" t="str">
        <f aca="false">IF($B$7="","",IF(AND($B$15=0,$B$8=""),"◄ Não foi indicado o Evento de Administração Local",IF(ISERROR(MATCH(Import.EventoAdmLocal,$F$15:$F$65,0)),"◄ Selecione um Título de Evento válido para a Administração Local","")))</f>
        <v>◄ Não foi indicado o Evento de Administração Local</v>
      </c>
    </row>
    <row r="9" customFormat="false" ht="3.75" hidden="false" customHeight="true" outlineLevel="0" collapsed="false">
      <c r="A9" s="386"/>
    </row>
    <row r="10" customFormat="false" ht="15" hidden="false" customHeight="true" outlineLevel="0" collapsed="false">
      <c r="A10" s="386" t="e">
        <f aca="false">MATCH(VALUE(A8),CÁLCULO!$M$15:$M$59,0)-2</f>
        <v>#VALUE!</v>
      </c>
      <c r="B10" s="338" t="str">
        <f aca="false">CONCATENATE(IF(AdmLocal="Automática",1,2),". Digite nas células em amarelo o número do período em que os eventos serão concluídos:")</f>
        <v>2. Digite nas células em amarelo o número do período em que os eventos serão concluídos:</v>
      </c>
    </row>
    <row r="11" customFormat="false" ht="65.25" hidden="false" customHeight="true" outlineLevel="0" collapsed="false">
      <c r="A11" s="324" t="s">
        <v>715</v>
      </c>
      <c r="C11" s="388"/>
      <c r="E11" s="389" t="str">
        <f aca="true">IF(E$12&gt;CÁLCULO.FrentesPreenchidas,"",OFFSET(CÁLCULO!$P$12,0,E$12))</f>
        <v/>
      </c>
      <c r="G11" s="389" t="str">
        <f aca="true">IF(G$12&gt;CÁLCULO.FrentesPreenchidas,"",OFFSET(CÁLCULO!$P$12,0,G$12))</f>
        <v/>
      </c>
      <c r="H11" s="389" t="str">
        <f aca="true">IF(H$12&gt;CÁLCULO.FrentesPreenchidas,"",OFFSET(CÁLCULO!$P$12,0,H$12))</f>
        <v/>
      </c>
      <c r="I11" s="389" t="str">
        <f aca="true">IF(I$12&gt;CÁLCULO.FrentesPreenchidas,"",OFFSET(CÁLCULO!$P$12,0,I$12))</f>
        <v/>
      </c>
      <c r="J11" s="389" t="str">
        <f aca="true">IF(J$12&gt;CÁLCULO.FrentesPreenchidas,"",OFFSET(CÁLCULO!$P$12,0,J$12))</f>
        <v/>
      </c>
      <c r="K11" s="389" t="str">
        <f aca="true">IF(K$12&gt;CÁLCULO.FrentesPreenchidas,"",OFFSET(CÁLCULO!$P$12,0,K$12))</f>
        <v/>
      </c>
      <c r="L11" s="389" t="str">
        <f aca="true">IF(L$12&gt;CÁLCULO.FrentesPreenchidas,"",OFFSET(CÁLCULO!$P$12,0,L$12))</f>
        <v/>
      </c>
      <c r="M11" s="389" t="str">
        <f aca="true">IF(M$12&gt;CÁLCULO.FrentesPreenchidas,"",OFFSET(CÁLCULO!$P$12,0,M$12))</f>
        <v/>
      </c>
      <c r="N11" s="389" t="str">
        <f aca="true">IF(N$12&gt;CÁLCULO.FrentesPreenchidas,"",OFFSET(CÁLCULO!$P$12,0,N$12))</f>
        <v/>
      </c>
      <c r="O11" s="389" t="str">
        <f aca="true">IF(O$12&gt;CÁLCULO.FrentesPreenchidas,"",OFFSET(CÁLCULO!$P$12,0,O$12))</f>
        <v/>
      </c>
      <c r="P11" s="389" t="str">
        <f aca="true">IF(P$12&gt;CÁLCULO.FrentesPreenchidas,"",OFFSET(CÁLCULO!$P$12,0,P$12))</f>
        <v/>
      </c>
      <c r="Q11" s="389" t="str">
        <f aca="true">IF(Q$12&gt;CÁLCULO.FrentesPreenchidas,"",OFFSET(CÁLCULO!$P$12,0,Q$12))</f>
        <v/>
      </c>
      <c r="R11" s="389" t="str">
        <f aca="true">IF(R$12&gt;CÁLCULO.FrentesPreenchidas,"",OFFSET(CÁLCULO!$P$12,0,R$12))</f>
        <v/>
      </c>
      <c r="S11" s="389" t="str">
        <f aca="true">IF(S$12&gt;CÁLCULO.FrentesPreenchidas,"",OFFSET(CÁLCULO!$P$12,0,S$12))</f>
        <v/>
      </c>
      <c r="T11" s="389" t="str">
        <f aca="true">IF(T$12&gt;CÁLCULO.FrentesPreenchidas,"",OFFSET(CÁLCULO!$P$12,0,T$12))</f>
        <v/>
      </c>
      <c r="U11" s="389" t="str">
        <f aca="true">IF(U$12&gt;CÁLCULO.FrentesPreenchidas,"",OFFSET(CÁLCULO!$P$12,0,U$12))</f>
        <v/>
      </c>
      <c r="V11" s="389" t="str">
        <f aca="true">IF(V$12&gt;CÁLCULO.FrentesPreenchidas,"",OFFSET(CÁLCULO!$P$12,0,V$12))</f>
        <v/>
      </c>
      <c r="W11" s="389" t="str">
        <f aca="true">IF(W$12&gt;CÁLCULO.FrentesPreenchidas,"",OFFSET(CÁLCULO!$P$12,0,W$12))</f>
        <v/>
      </c>
      <c r="X11" s="389" t="str">
        <f aca="true">IF(X$12&gt;CÁLCULO.FrentesPreenchidas,"",OFFSET(CÁLCULO!$P$12,0,X$12))</f>
        <v/>
      </c>
      <c r="Y11" s="389" t="str">
        <f aca="true">IF(Y$12&gt;CÁLCULO.FrentesPreenchidas,"",OFFSET(CÁLCULO!$P$12,0,Y$12))</f>
        <v/>
      </c>
      <c r="Z11" s="389" t="str">
        <f aca="true">IF(Z$12&gt;CÁLCULO.FrentesPreenchidas,"",OFFSET(CÁLCULO!$P$12,0,Z$12))</f>
        <v/>
      </c>
      <c r="AA11" s="389" t="str">
        <f aca="true">IF(AA$12&gt;CÁLCULO.FrentesPreenchidas,"",OFFSET(CÁLCULO!$P$12,0,AA$12))</f>
        <v/>
      </c>
      <c r="AB11" s="389" t="str">
        <f aca="true">IF(AB$12&gt;CÁLCULO.FrentesPreenchidas,"",OFFSET(CÁLCULO!$P$12,0,AB$12))</f>
        <v/>
      </c>
      <c r="AC11" s="389" t="str">
        <f aca="true">IF(AC$12&gt;CÁLCULO.FrentesPreenchidas,"",OFFSET(CÁLCULO!$P$12,0,AC$12))</f>
        <v/>
      </c>
      <c r="AD11" s="389" t="str">
        <f aca="true">IF(AD$12&gt;CÁLCULO.FrentesPreenchidas,"",OFFSET(CÁLCULO!$P$12,0,AD$12))</f>
        <v/>
      </c>
      <c r="AE11" s="389" t="str">
        <f aca="true">IF(AE$12&gt;CÁLCULO.FrentesPreenchidas,"",OFFSET(CÁLCULO!$P$12,0,AE$12))</f>
        <v/>
      </c>
    </row>
    <row r="12" customFormat="false" ht="12.75" hidden="false" customHeight="true" outlineLevel="0" collapsed="false">
      <c r="A12" s="337" t="s">
        <v>720</v>
      </c>
      <c r="B12" s="390" t="s">
        <v>878</v>
      </c>
      <c r="C12" s="390" t="s">
        <v>917</v>
      </c>
      <c r="E12" s="391" t="n">
        <f aca="true">OFFSET(E12,0,-1)+1</f>
        <v>1</v>
      </c>
      <c r="G12" s="391" t="n">
        <f aca="true">OFFSET(G12,0,-1)+1</f>
        <v>1</v>
      </c>
      <c r="H12" s="391" t="n">
        <f aca="true">OFFSET(H12,0,-1)+1</f>
        <v>2</v>
      </c>
      <c r="I12" s="391" t="n">
        <f aca="true">OFFSET(I12,0,-1)+1</f>
        <v>3</v>
      </c>
      <c r="J12" s="391" t="n">
        <f aca="true">OFFSET(J12,0,-1)+1</f>
        <v>4</v>
      </c>
      <c r="K12" s="391" t="n">
        <f aca="true">OFFSET(K12,0,-1)+1</f>
        <v>5</v>
      </c>
      <c r="L12" s="391" t="n">
        <f aca="true">OFFSET(L12,0,-1)+1</f>
        <v>6</v>
      </c>
      <c r="M12" s="391" t="n">
        <f aca="true">OFFSET(M12,0,-1)+1</f>
        <v>7</v>
      </c>
      <c r="N12" s="391" t="n">
        <f aca="true">OFFSET(N12,0,-1)+1</f>
        <v>8</v>
      </c>
      <c r="O12" s="391" t="n">
        <f aca="true">OFFSET(O12,0,-1)+1</f>
        <v>9</v>
      </c>
      <c r="P12" s="391" t="n">
        <f aca="true">OFFSET(P12,0,-1)+1</f>
        <v>10</v>
      </c>
      <c r="Q12" s="391" t="n">
        <f aca="true">OFFSET(Q12,0,-1)+1</f>
        <v>11</v>
      </c>
      <c r="R12" s="391" t="n">
        <f aca="true">OFFSET(R12,0,-1)+1</f>
        <v>12</v>
      </c>
      <c r="S12" s="391" t="n">
        <f aca="true">OFFSET(S12,0,-1)+1</f>
        <v>13</v>
      </c>
      <c r="T12" s="391" t="n">
        <f aca="true">OFFSET(T12,0,-1)+1</f>
        <v>14</v>
      </c>
      <c r="U12" s="391" t="n">
        <f aca="true">OFFSET(U12,0,-1)+1</f>
        <v>15</v>
      </c>
      <c r="V12" s="391" t="n">
        <f aca="true">OFFSET(V12,0,-1)+1</f>
        <v>16</v>
      </c>
      <c r="W12" s="391" t="n">
        <f aca="true">OFFSET(W12,0,-1)+1</f>
        <v>17</v>
      </c>
      <c r="X12" s="391" t="n">
        <f aca="true">OFFSET(X12,0,-1)+1</f>
        <v>18</v>
      </c>
      <c r="Y12" s="391" t="n">
        <f aca="true">OFFSET(Y12,0,-1)+1</f>
        <v>19</v>
      </c>
      <c r="Z12" s="391" t="n">
        <f aca="true">OFFSET(Z12,0,-1)+1</f>
        <v>20</v>
      </c>
      <c r="AA12" s="391" t="n">
        <f aca="true">OFFSET(AA12,0,-1)+1</f>
        <v>21</v>
      </c>
      <c r="AB12" s="391" t="n">
        <f aca="true">OFFSET(AB12,0,-1)+1</f>
        <v>22</v>
      </c>
      <c r="AC12" s="391" t="n">
        <f aca="true">OFFSET(AC12,0,-1)+1</f>
        <v>23</v>
      </c>
      <c r="AD12" s="391" t="n">
        <f aca="true">OFFSET(AD12,0,-1)+1</f>
        <v>24</v>
      </c>
      <c r="AE12" s="391" t="n">
        <f aca="true">OFFSET(AE12,0,-1)+1</f>
        <v>25</v>
      </c>
    </row>
    <row r="13" customFormat="false" ht="12.75" hidden="false" customHeight="false" outlineLevel="0" collapsed="false">
      <c r="A13" s="392" t="s">
        <v>715</v>
      </c>
      <c r="B13" s="390"/>
      <c r="C13" s="390"/>
      <c r="E13" s="393"/>
      <c r="G13" s="394"/>
      <c r="H13" s="393"/>
      <c r="I13" s="393"/>
      <c r="J13" s="393"/>
      <c r="K13" s="393"/>
      <c r="L13" s="393"/>
      <c r="M13" s="395" t="str">
        <f aca="false">IF(CRONOPLE.Erro="ERRO: CRONOGRAMA NÃO FECHA 100%","Informe abaixo o NÚMERO DO PERÍODO em que os eventos serão concluídos","")</f>
        <v/>
      </c>
      <c r="N13" s="393"/>
      <c r="O13" s="393"/>
      <c r="P13" s="393"/>
      <c r="Q13" s="393"/>
      <c r="R13" s="393"/>
      <c r="S13" s="393"/>
      <c r="T13" s="393"/>
      <c r="U13" s="393"/>
      <c r="V13" s="393"/>
      <c r="W13" s="393"/>
      <c r="X13" s="393"/>
      <c r="Y13" s="393"/>
      <c r="Z13" s="393"/>
      <c r="AA13" s="393"/>
      <c r="AB13" s="393"/>
      <c r="AC13" s="393"/>
      <c r="AD13" s="393"/>
      <c r="AE13" s="396"/>
    </row>
    <row r="14" customFormat="false" ht="4.5" hidden="false" customHeight="true" outlineLevel="0" collapsed="false">
      <c r="A14" s="48" t="s">
        <v>596</v>
      </c>
    </row>
    <row r="15" customFormat="false" ht="12.75" hidden="false" customHeight="false" outlineLevel="0" collapsed="false">
      <c r="A15" s="48" t="str">
        <f aca="false">IF(AUTOEVENTO="Manual",IF(EVENTOS!$F15&gt;0,"F",""),IF(AND(B15&gt;0,B15&lt;=MAX(CÁLCULO!$M$15:$M$59)),"F",""))</f>
        <v/>
      </c>
      <c r="B15" s="397" t="n">
        <f aca="false">EVENTOS!$C$15</f>
        <v>0</v>
      </c>
      <c r="C15" s="398" t="str">
        <f aca="false">EVENTOS!$D$15</f>
        <v/>
      </c>
      <c r="D15" s="378"/>
      <c r="E15" s="399"/>
      <c r="F15" s="0" t="str">
        <f aca="false">IF($C15="","",CONCATENATE($B15,". ",$C15))</f>
        <v/>
      </c>
      <c r="G15" s="400" t="str">
        <f aca="false">IF(AUTOEVENTO="MANUAL","A administração local será proporcional a execução dos demais eventos, independente de frentes de obra.","Para aplicação de Adm. Local é necessário definir os eventos manualmente.")</f>
        <v>Para aplicação de Adm. Local é necessário definir os eventos manualmente.</v>
      </c>
      <c r="H15" s="399"/>
      <c r="I15" s="399"/>
      <c r="J15" s="399"/>
      <c r="K15" s="399"/>
      <c r="L15" s="399"/>
      <c r="M15" s="399"/>
      <c r="N15" s="399"/>
      <c r="O15" s="399"/>
      <c r="P15" s="399"/>
      <c r="Q15" s="399"/>
      <c r="R15" s="399"/>
      <c r="S15" s="399"/>
      <c r="T15" s="399"/>
      <c r="U15" s="399"/>
      <c r="V15" s="399"/>
      <c r="W15" s="399"/>
      <c r="X15" s="399"/>
      <c r="Y15" s="399"/>
      <c r="Z15" s="399"/>
      <c r="AA15" s="399"/>
      <c r="AB15" s="399"/>
      <c r="AC15" s="399"/>
      <c r="AD15" s="399"/>
      <c r="AE15" s="401"/>
    </row>
    <row r="16" customFormat="false" ht="12.75" hidden="false" customHeight="false" outlineLevel="0" collapsed="false">
      <c r="A16" s="48" t="str">
        <f aca="false">IF(AUTOEVENTO="Manual",IF(EVENTOS!$F16&gt;0,"F",""),IF(AND(B16&gt;0,B16&lt;=MAX(CÁLCULO!$M$15:$M$59)),"F",""))</f>
        <v>F</v>
      </c>
      <c r="B16" s="376" t="n">
        <f aca="true">OFFSET(B16,-1,0)+1</f>
        <v>1</v>
      </c>
      <c r="C16" s="377" t="str">
        <f aca="true">IF(AUTOEVENTO="Manual",IF($B16&gt;0,OFFSET(EVENTOS!$D$15,$B16-$B$15,0),0),IF(B16&lt;=MAX(CÁLCULO!$M$15:$M$59),VLOOKUP($B16,CÁLCULO!$M$15:$N$59,2,FALSE()),0))</f>
        <v>ADMINISTRAÇÃO DA OBRA</v>
      </c>
      <c r="D16" s="378"/>
      <c r="E16" s="379"/>
      <c r="F16" s="0" t="str">
        <f aca="false">IF($C16=0,"",CONCATENATE($B16,". ",$C16))</f>
        <v>1. ADMINISTRAÇÃO DA OBRA</v>
      </c>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row>
    <row r="17" customFormat="false" ht="12.75" hidden="false" customHeight="false" outlineLevel="0" collapsed="false">
      <c r="A17" s="48" t="str">
        <f aca="false">IF(AUTOEVENTO="Manual",IF(EVENTOS!$F17&gt;0,"F",""),IF(AND(B17&gt;0,B17&lt;=MAX(CÁLCULO!$M$15:$M$59)),"F",""))</f>
        <v>F</v>
      </c>
      <c r="B17" s="376" t="n">
        <f aca="true">OFFSET(B17,-1,0)+1</f>
        <v>2</v>
      </c>
      <c r="C17" s="377" t="str">
        <f aca="true">IF(AUTOEVENTO="Manual",IF($B17&gt;0,OFFSET(EVENTOS!$D$15,$B17-$B$15,0),0),IF(B17&lt;=MAX(CÁLCULO!$M$15:$M$59),VLOOKUP($B17,CÁLCULO!$M$15:$N$59,2,FALSE()),0))</f>
        <v>MOBILIZAÇÃO E DESMOBILIZAÇÃO</v>
      </c>
      <c r="D17" s="378"/>
      <c r="E17" s="379"/>
      <c r="F17" s="0" t="str">
        <f aca="false">IF($C17=0,"",CONCATENATE($B17,". ",$C17))</f>
        <v>2. MOBILIZAÇÃO E DESMOBILIZAÇÃO</v>
      </c>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row>
    <row r="18" customFormat="false" ht="12.75" hidden="false" customHeight="false" outlineLevel="0" collapsed="false">
      <c r="A18" s="48" t="str">
        <f aca="false">IF(AUTOEVENTO="Manual",IF(EVENTOS!$F18&gt;0,"F",""),IF(AND(B18&gt;0,B18&lt;=MAX(CÁLCULO!$M$15:$M$59)),"F",""))</f>
        <v>F</v>
      </c>
      <c r="B18" s="376" t="n">
        <f aca="true">OFFSET(B18,-1,0)+1</f>
        <v>3</v>
      </c>
      <c r="C18" s="377" t="str">
        <f aca="true">IF(AUTOEVENTO="Manual",IF($B18&gt;0,OFFSET(EVENTOS!$D$15,$B18-$B$15,0),0),IF(B18&lt;=MAX(CÁLCULO!$M$15:$M$59),VLOOKUP($B18,CÁLCULO!$M$15:$N$59,2,FALSE()),0))</f>
        <v>SERVIÇOS PRELIMINARES</v>
      </c>
      <c r="D18" s="378"/>
      <c r="E18" s="379"/>
      <c r="F18" s="0" t="str">
        <f aca="false">IF($C18=0,"",CONCATENATE($B18,". ",$C18))</f>
        <v>3. SERVIÇOS PRELIMINARES</v>
      </c>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row>
    <row r="19" customFormat="false" ht="12.75" hidden="false" customHeight="false" outlineLevel="0" collapsed="false">
      <c r="A19" s="48" t="str">
        <f aca="false">IF(AUTOEVENTO="Manual",IF(EVENTOS!$F19&gt;0,"F",""),IF(AND(B19&gt;0,B19&lt;=MAX(CÁLCULO!$M$15:$M$59)),"F",""))</f>
        <v>F</v>
      </c>
      <c r="B19" s="376" t="n">
        <f aca="true">OFFSET(B19,-1,0)+1</f>
        <v>4</v>
      </c>
      <c r="C19" s="377" t="str">
        <f aca="true">IF(AUTOEVENTO="Manual",IF($B19&gt;0,OFFSET(EVENTOS!$D$15,$B19-$B$15,0),0),IF(B19&lt;=MAX(CÁLCULO!$M$15:$M$59),VLOOKUP($B19,CÁLCULO!$M$15:$N$59,2,FALSE()),0))</f>
        <v>REMOÇAO/DEMOLIÇÃO PASSEIO E MEIO FIO EXISTENTE</v>
      </c>
      <c r="D19" s="378"/>
      <c r="E19" s="379"/>
      <c r="F19" s="0" t="str">
        <f aca="false">IF($C19=0,"",CONCATENATE($B19,". ",$C19))</f>
        <v>4. REMOÇAO/DEMOLIÇÃO PASSEIO E MEIO FIO EXISTENTE</v>
      </c>
      <c r="G19" s="380"/>
      <c r="H19" s="380"/>
      <c r="I19" s="380"/>
      <c r="J19" s="380"/>
      <c r="K19" s="380"/>
      <c r="L19" s="380"/>
      <c r="M19" s="380"/>
      <c r="N19" s="380"/>
      <c r="O19" s="380"/>
      <c r="P19" s="380"/>
      <c r="Q19" s="380"/>
      <c r="R19" s="380"/>
      <c r="S19" s="380"/>
      <c r="T19" s="380"/>
      <c r="U19" s="380"/>
      <c r="V19" s="380"/>
      <c r="W19" s="380"/>
      <c r="X19" s="380"/>
      <c r="Y19" s="380"/>
      <c r="Z19" s="380"/>
      <c r="AA19" s="380"/>
      <c r="AB19" s="380"/>
      <c r="AC19" s="380"/>
      <c r="AD19" s="380"/>
      <c r="AE19" s="380"/>
    </row>
    <row r="20" customFormat="false" ht="12.75" hidden="false" customHeight="false" outlineLevel="0" collapsed="false">
      <c r="A20" s="48" t="str">
        <f aca="false">IF(AUTOEVENTO="Manual",IF(EVENTOS!$F20&gt;0,"F",""),IF(AND(B20&gt;0,B20&lt;=MAX(CÁLCULO!$M$15:$M$59)),"F",""))</f>
        <v>F</v>
      </c>
      <c r="B20" s="376" t="n">
        <f aca="true">OFFSET(B20,-1,0)+1</f>
        <v>5</v>
      </c>
      <c r="C20" s="377" t="str">
        <f aca="true">IF(AUTOEVENTO="Manual",IF($B20&gt;0,OFFSET(EVENTOS!$D$15,$B20-$B$15,0),0),IF(B20&lt;=MAX(CÁLCULO!$M$15:$M$59),VLOOKUP($B20,CÁLCULO!$M$15:$N$59,2,FALSE()),0))</f>
        <v>MOVIMENTAÇÃO DE TERRA</v>
      </c>
      <c r="D20" s="378"/>
      <c r="E20" s="379"/>
      <c r="F20" s="0" t="str">
        <f aca="false">IF($C20=0,"",CONCATENATE($B20,". ",$C20))</f>
        <v>5. MOVIMENTAÇÃO DE TERRA</v>
      </c>
      <c r="G20" s="380"/>
      <c r="H20" s="380"/>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row>
    <row r="21" customFormat="false" ht="12.75" hidden="false" customHeight="false" outlineLevel="0" collapsed="false">
      <c r="A21" s="48" t="str">
        <f aca="false">IF(AUTOEVENTO="Manual",IF(EVENTOS!$F21&gt;0,"F",""),IF(AND(B21&gt;0,B21&lt;=MAX(CÁLCULO!$M$15:$M$59)),"F",""))</f>
        <v>F</v>
      </c>
      <c r="B21" s="376" t="n">
        <f aca="true">OFFSET(B21,-1,0)+1</f>
        <v>6</v>
      </c>
      <c r="C21" s="377" t="str">
        <f aca="true">IF(AUTOEVENTO="Manual",IF($B21&gt;0,OFFSET(EVENTOS!$D$15,$B21-$B$15,0),0),IF(B21&lt;=MAX(CÁLCULO!$M$15:$M$59),VLOOKUP($B21,CÁLCULO!$M$15:$N$59,2,FALSE()),0))</f>
        <v>PLATAFORMA</v>
      </c>
      <c r="D21" s="378"/>
      <c r="E21" s="379"/>
      <c r="F21" s="0" t="str">
        <f aca="false">IF($C21=0,"",CONCATENATE($B21,". ",$C21))</f>
        <v>6. PLATAFORMA</v>
      </c>
      <c r="G21" s="380"/>
      <c r="H21" s="380"/>
      <c r="I21" s="380"/>
      <c r="J21" s="380"/>
      <c r="K21" s="380"/>
      <c r="L21" s="380"/>
      <c r="M21" s="380"/>
      <c r="N21" s="380"/>
      <c r="O21" s="380"/>
      <c r="P21" s="380"/>
      <c r="Q21" s="380"/>
      <c r="R21" s="380"/>
      <c r="S21" s="380"/>
      <c r="T21" s="380"/>
      <c r="U21" s="380"/>
      <c r="V21" s="380"/>
      <c r="W21" s="380"/>
      <c r="X21" s="380"/>
      <c r="Y21" s="380"/>
      <c r="Z21" s="380"/>
      <c r="AA21" s="380"/>
      <c r="AB21" s="380"/>
      <c r="AC21" s="380"/>
      <c r="AD21" s="380"/>
      <c r="AE21" s="380"/>
    </row>
    <row r="22" customFormat="false" ht="12.75" hidden="false" customHeight="false" outlineLevel="0" collapsed="false">
      <c r="A22" s="48" t="str">
        <f aca="false">IF(AUTOEVENTO="Manual",IF(EVENTOS!$F22&gt;0,"F",""),IF(AND(B22&gt;0,B22&lt;=MAX(CÁLCULO!$M$15:$M$59)),"F",""))</f>
        <v>F</v>
      </c>
      <c r="B22" s="376" t="n">
        <f aca="true">OFFSET(B22,-1,0)+1</f>
        <v>7</v>
      </c>
      <c r="C22" s="377" t="str">
        <f aca="true">IF(AUTOEVENTO="Manual",IF($B22&gt;0,OFFSET(EVENTOS!$D$15,$B22-$B$15,0),0),IF(B22&lt;=MAX(CÁLCULO!$M$15:$M$59),VLOOKUP($B22,CÁLCULO!$M$15:$N$59,2,FALSE()),0))</f>
        <v>PAVIMENTAÇAO</v>
      </c>
      <c r="D22" s="378"/>
      <c r="E22" s="379"/>
      <c r="F22" s="0" t="str">
        <f aca="false">IF($C22=0,"",CONCATENATE($B22,". ",$C22))</f>
        <v>7. PAVIMENTAÇAO</v>
      </c>
      <c r="G22" s="380"/>
      <c r="H22" s="380"/>
      <c r="I22" s="380"/>
      <c r="J22" s="380"/>
      <c r="K22" s="380"/>
      <c r="L22" s="380"/>
      <c r="M22" s="380"/>
      <c r="N22" s="380"/>
      <c r="O22" s="380"/>
      <c r="P22" s="380"/>
      <c r="Q22" s="380"/>
      <c r="R22" s="380"/>
      <c r="S22" s="380"/>
      <c r="T22" s="380"/>
      <c r="U22" s="380"/>
      <c r="V22" s="380"/>
      <c r="W22" s="380"/>
      <c r="X22" s="380"/>
      <c r="Y22" s="380"/>
      <c r="Z22" s="380"/>
      <c r="AA22" s="380"/>
      <c r="AB22" s="380"/>
      <c r="AC22" s="380"/>
      <c r="AD22" s="380"/>
      <c r="AE22" s="380"/>
    </row>
    <row r="23" customFormat="false" ht="12.75" hidden="false" customHeight="false" outlineLevel="0" collapsed="false">
      <c r="A23" s="48" t="str">
        <f aca="false">IF(AUTOEVENTO="Manual",IF(EVENTOS!$F23&gt;0,"F",""),IF(AND(B23&gt;0,B23&lt;=MAX(CÁLCULO!$M$15:$M$59)),"F",""))</f>
        <v>F</v>
      </c>
      <c r="B23" s="376" t="n">
        <f aca="true">OFFSET(B23,-1,0)+1</f>
        <v>8</v>
      </c>
      <c r="C23" s="377" t="str">
        <f aca="true">IF(AUTOEVENTO="Manual",IF($B23&gt;0,OFFSET(EVENTOS!$D$15,$B23-$B$15,0),0),IF(B23&lt;=MAX(CÁLCULO!$M$15:$M$59),VLOOKUP($B23,CÁLCULO!$M$15:$N$59,2,FALSE()),0))</f>
        <v>EQUIPAMENTO</v>
      </c>
      <c r="D23" s="378"/>
      <c r="E23" s="379"/>
      <c r="F23" s="0" t="str">
        <f aca="false">IF($C23=0,"",CONCATENATE($B23,". ",$C23))</f>
        <v>8. EQUIPAMENTO</v>
      </c>
      <c r="G23" s="380"/>
      <c r="H23" s="380"/>
      <c r="I23" s="380"/>
      <c r="J23" s="380"/>
      <c r="K23" s="380"/>
      <c r="L23" s="380"/>
      <c r="M23" s="380"/>
      <c r="N23" s="380"/>
      <c r="O23" s="380"/>
      <c r="P23" s="380"/>
      <c r="Q23" s="380"/>
      <c r="R23" s="380"/>
      <c r="S23" s="380"/>
      <c r="T23" s="380"/>
      <c r="U23" s="380"/>
      <c r="V23" s="380"/>
      <c r="W23" s="380"/>
      <c r="X23" s="380"/>
      <c r="Y23" s="380"/>
      <c r="Z23" s="380"/>
      <c r="AA23" s="380"/>
      <c r="AB23" s="380"/>
      <c r="AC23" s="380"/>
      <c r="AD23" s="380"/>
      <c r="AE23" s="380"/>
    </row>
    <row r="24" customFormat="false" ht="12.75" hidden="false" customHeight="false" outlineLevel="0" collapsed="false">
      <c r="A24" s="48" t="str">
        <f aca="false">IF(AUTOEVENTO="Manual",IF(EVENTOS!$F24&gt;0,"F",""),IF(AND(B24&gt;0,B24&lt;=MAX(CÁLCULO!$M$15:$M$59)),"F",""))</f>
        <v>F</v>
      </c>
      <c r="B24" s="376" t="n">
        <f aca="true">OFFSET(B24,-1,0)+1</f>
        <v>9</v>
      </c>
      <c r="C24" s="377" t="str">
        <f aca="true">IF(AUTOEVENTO="Manual",IF($B24&gt;0,OFFSET(EVENTOS!$D$15,$B24-$B$15,0),0),IF(B24&lt;=MAX(CÁLCULO!$M$15:$M$59),VLOOKUP($B24,CÁLCULO!$M$15:$N$59,2,FALSE()),0))</f>
        <v>PINTURA</v>
      </c>
      <c r="D24" s="378"/>
      <c r="E24" s="379"/>
      <c r="F24" s="0" t="str">
        <f aca="false">IF($C24=0,"",CONCATENATE($B24,". ",$C24))</f>
        <v>9. PINTURA</v>
      </c>
      <c r="G24" s="380"/>
      <c r="H24" s="380"/>
      <c r="I24" s="380"/>
      <c r="J24" s="380"/>
      <c r="K24" s="380"/>
      <c r="L24" s="380"/>
      <c r="M24" s="380"/>
      <c r="N24" s="380"/>
      <c r="O24" s="380"/>
      <c r="P24" s="380"/>
      <c r="Q24" s="380"/>
      <c r="R24" s="380"/>
      <c r="S24" s="380"/>
      <c r="T24" s="380"/>
      <c r="U24" s="380"/>
      <c r="V24" s="380"/>
      <c r="W24" s="380"/>
      <c r="X24" s="380"/>
      <c r="Y24" s="380"/>
      <c r="Z24" s="380"/>
      <c r="AA24" s="380"/>
      <c r="AB24" s="380"/>
      <c r="AC24" s="380"/>
      <c r="AD24" s="380"/>
      <c r="AE24" s="380"/>
    </row>
    <row r="25" customFormat="false" ht="12.75" hidden="false" customHeight="false" outlineLevel="0" collapsed="false">
      <c r="A25" s="48" t="str">
        <f aca="false">IF(AUTOEVENTO="Manual",IF(EVENTOS!$F25&gt;0,"F",""),IF(AND(B25&gt;0,B25&lt;=MAX(CÁLCULO!$M$15:$M$59)),"F",""))</f>
        <v>F</v>
      </c>
      <c r="B25" s="376" t="n">
        <f aca="true">OFFSET(B25,-1,0)+1</f>
        <v>10</v>
      </c>
      <c r="C25" s="377" t="str">
        <f aca="true">IF(AUTOEVENTO="Manual",IF($B25&gt;0,OFFSET(EVENTOS!$D$15,$B25-$B$15,0),0),IF(B25&lt;=MAX(CÁLCULO!$M$15:$M$59),VLOOKUP($B25,CÁLCULO!$M$15:$N$59,2,FALSE()),0))</f>
        <v>PAISAGISMO</v>
      </c>
      <c r="D25" s="378"/>
      <c r="E25" s="379"/>
      <c r="F25" s="0" t="str">
        <f aca="false">IF($C25=0,"",CONCATENATE($B25,". ",$C25))</f>
        <v>10. PAISAGISMO</v>
      </c>
      <c r="G25" s="380"/>
      <c r="H25" s="380"/>
      <c r="I25" s="380"/>
      <c r="J25" s="380"/>
      <c r="K25" s="380"/>
      <c r="L25" s="380"/>
      <c r="M25" s="380"/>
      <c r="N25" s="380"/>
      <c r="O25" s="380"/>
      <c r="P25" s="380"/>
      <c r="Q25" s="380"/>
      <c r="R25" s="380"/>
      <c r="S25" s="380"/>
      <c r="T25" s="380"/>
      <c r="U25" s="380"/>
      <c r="V25" s="380"/>
      <c r="W25" s="380"/>
      <c r="X25" s="380"/>
      <c r="Y25" s="380"/>
      <c r="Z25" s="380"/>
      <c r="AA25" s="380"/>
      <c r="AB25" s="380"/>
      <c r="AC25" s="380"/>
      <c r="AD25" s="380"/>
      <c r="AE25" s="380"/>
    </row>
    <row r="26" customFormat="false" ht="12.75" hidden="false" customHeight="false" outlineLevel="0" collapsed="false">
      <c r="A26" s="48" t="str">
        <f aca="false">IF(AUTOEVENTO="Manual",IF(EVENTOS!$F26&gt;0,"F",""),IF(AND(B26&gt;0,B26&lt;=MAX(CÁLCULO!$M$15:$M$59)),"F",""))</f>
        <v>F</v>
      </c>
      <c r="B26" s="376" t="n">
        <f aca="true">OFFSET(B26,-1,0)+1</f>
        <v>11</v>
      </c>
      <c r="C26" s="377" t="str">
        <f aca="true">IF(AUTOEVENTO="Manual",IF($B26&gt;0,OFFSET(EVENTOS!$D$15,$B26-$B$15,0),0),IF(B26&lt;=MAX(CÁLCULO!$M$15:$M$59),VLOOKUP($B26,CÁLCULO!$M$15:$N$59,2,FALSE()),0))</f>
        <v>ILUMINAÇÃO</v>
      </c>
      <c r="D26" s="378"/>
      <c r="E26" s="379"/>
      <c r="F26" s="0" t="str">
        <f aca="false">IF($C26=0,"",CONCATENATE($B26,". ",$C26))</f>
        <v>11. ILUMINAÇÃO</v>
      </c>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380"/>
    </row>
    <row r="27" customFormat="false" ht="12.75" hidden="false" customHeight="false" outlineLevel="0" collapsed="false">
      <c r="A27" s="48" t="str">
        <f aca="false">IF(AUTOEVENTO="Manual",IF(EVENTOS!$F27&gt;0,"F",""),IF(AND(B27&gt;0,B27&lt;=MAX(CÁLCULO!$M$15:$M$59)),"F",""))</f>
        <v/>
      </c>
      <c r="B27" s="376" t="n">
        <f aca="true">OFFSET(B27,-1,0)+1</f>
        <v>12</v>
      </c>
      <c r="C27" s="377" t="n">
        <f aca="true">IF(AUTOEVENTO="Manual",IF($B27&gt;0,OFFSET(EVENTOS!$D$15,$B27-$B$15,0),0),IF(B27&lt;=MAX(CÁLCULO!$M$15:$M$59),VLOOKUP($B27,CÁLCULO!$M$15:$N$59,2,FALSE()),0))</f>
        <v>0</v>
      </c>
      <c r="D27" s="378"/>
      <c r="E27" s="379"/>
      <c r="F27" s="0" t="str">
        <f aca="false">IF($C27=0,"",CONCATENATE($B27,". ",$C27))</f>
        <v/>
      </c>
      <c r="G27" s="380"/>
      <c r="H27" s="380"/>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row>
    <row r="28" customFormat="false" ht="12.75" hidden="false" customHeight="false" outlineLevel="0" collapsed="false">
      <c r="A28" s="48" t="str">
        <f aca="false">IF(AUTOEVENTO="Manual",IF(EVENTOS!$F28&gt;0,"F",""),IF(AND(B28&gt;0,B28&lt;=MAX(CÁLCULO!$M$15:$M$59)),"F",""))</f>
        <v/>
      </c>
      <c r="B28" s="376" t="n">
        <f aca="true">OFFSET(B28,-1,0)+1</f>
        <v>13</v>
      </c>
      <c r="C28" s="377" t="n">
        <f aca="true">IF(AUTOEVENTO="Manual",IF($B28&gt;0,OFFSET(EVENTOS!$D$15,$B28-$B$15,0),0),IF(B28&lt;=MAX(CÁLCULO!$M$15:$M$59),VLOOKUP($B28,CÁLCULO!$M$15:$N$59,2,FALSE()),0))</f>
        <v>0</v>
      </c>
      <c r="D28" s="378"/>
      <c r="E28" s="379"/>
      <c r="F28" s="0" t="str">
        <f aca="false">IF($C28=0,"",CONCATENATE($B28,". ",$C28))</f>
        <v/>
      </c>
      <c r="G28" s="380"/>
      <c r="H28" s="380"/>
      <c r="I28" s="380"/>
      <c r="J28" s="380"/>
      <c r="K28" s="380"/>
      <c r="L28" s="380"/>
      <c r="M28" s="380"/>
      <c r="N28" s="380"/>
      <c r="O28" s="380"/>
      <c r="P28" s="380"/>
      <c r="Q28" s="380"/>
      <c r="R28" s="380"/>
      <c r="S28" s="380"/>
      <c r="T28" s="380"/>
      <c r="U28" s="380"/>
      <c r="V28" s="380"/>
      <c r="W28" s="380"/>
      <c r="X28" s="380"/>
      <c r="Y28" s="380"/>
      <c r="Z28" s="380"/>
      <c r="AA28" s="380"/>
      <c r="AB28" s="380"/>
      <c r="AC28" s="380"/>
      <c r="AD28" s="380"/>
      <c r="AE28" s="380"/>
    </row>
    <row r="29" customFormat="false" ht="12.75" hidden="false" customHeight="false" outlineLevel="0" collapsed="false">
      <c r="A29" s="48" t="str">
        <f aca="false">IF(AUTOEVENTO="Manual",IF(EVENTOS!$F29&gt;0,"F",""),IF(AND(B29&gt;0,B29&lt;=MAX(CÁLCULO!$M$15:$M$59)),"F",""))</f>
        <v/>
      </c>
      <c r="B29" s="376" t="n">
        <f aca="true">OFFSET(B29,-1,0)+1</f>
        <v>14</v>
      </c>
      <c r="C29" s="377" t="n">
        <f aca="true">IF(AUTOEVENTO="Manual",IF($B29&gt;0,OFFSET(EVENTOS!$D$15,$B29-$B$15,0),0),IF(B29&lt;=MAX(CÁLCULO!$M$15:$M$59),VLOOKUP($B29,CÁLCULO!$M$15:$N$59,2,FALSE()),0))</f>
        <v>0</v>
      </c>
      <c r="D29" s="378"/>
      <c r="E29" s="379"/>
      <c r="F29" s="0" t="str">
        <f aca="false">IF($C29=0,"",CONCATENATE($B29,". ",$C29))</f>
        <v/>
      </c>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row>
    <row r="30" customFormat="false" ht="12.75" hidden="false" customHeight="false" outlineLevel="0" collapsed="false">
      <c r="A30" s="48" t="str">
        <f aca="false">IF(AUTOEVENTO="Manual",IF(EVENTOS!$F30&gt;0,"F",""),IF(AND(B30&gt;0,B30&lt;=MAX(CÁLCULO!$M$15:$M$59)),"F",""))</f>
        <v/>
      </c>
      <c r="B30" s="376" t="n">
        <f aca="true">OFFSET(B30,-1,0)+1</f>
        <v>15</v>
      </c>
      <c r="C30" s="377" t="n">
        <f aca="true">IF(AUTOEVENTO="Manual",IF($B30&gt;0,OFFSET(EVENTOS!$D$15,$B30-$B$15,0),0),IF(B30&lt;=MAX(CÁLCULO!$M$15:$M$59),VLOOKUP($B30,CÁLCULO!$M$15:$N$59,2,FALSE()),0))</f>
        <v>0</v>
      </c>
      <c r="D30" s="378"/>
      <c r="E30" s="379"/>
      <c r="F30" s="0" t="str">
        <f aca="false">IF($C30=0,"",CONCATENATE($B30,". ",$C30))</f>
        <v/>
      </c>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row>
    <row r="31" customFormat="false" ht="12.75" hidden="false" customHeight="false" outlineLevel="0" collapsed="false">
      <c r="A31" s="48" t="str">
        <f aca="false">IF(AUTOEVENTO="Manual",IF(EVENTOS!$F31&gt;0,"F",""),IF(AND(B31&gt;0,B31&lt;=MAX(CÁLCULO!$M$15:$M$59)),"F",""))</f>
        <v/>
      </c>
      <c r="B31" s="376" t="n">
        <f aca="true">OFFSET(B31,-1,0)+1</f>
        <v>16</v>
      </c>
      <c r="C31" s="377" t="n">
        <f aca="true">IF(AUTOEVENTO="Manual",IF($B31&gt;0,OFFSET(EVENTOS!$D$15,$B31-$B$15,0),0),IF(B31&lt;=MAX(CÁLCULO!$M$15:$M$59),VLOOKUP($B31,CÁLCULO!$M$15:$N$59,2,FALSE()),0))</f>
        <v>0</v>
      </c>
      <c r="D31" s="378"/>
      <c r="E31" s="379"/>
      <c r="F31" s="0" t="str">
        <f aca="false">IF($C31=0,"",CONCATENATE($B31,". ",$C31))</f>
        <v/>
      </c>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row>
    <row r="32" customFormat="false" ht="12.75" hidden="false" customHeight="false" outlineLevel="0" collapsed="false">
      <c r="A32" s="48" t="str">
        <f aca="false">IF(AUTOEVENTO="Manual",IF(EVENTOS!$F32&gt;0,"F",""),IF(AND(B32&gt;0,B32&lt;=MAX(CÁLCULO!$M$15:$M$59)),"F",""))</f>
        <v/>
      </c>
      <c r="B32" s="376" t="n">
        <f aca="true">OFFSET(B32,-1,0)+1</f>
        <v>17</v>
      </c>
      <c r="C32" s="377" t="n">
        <f aca="true">IF(AUTOEVENTO="Manual",IF($B32&gt;0,OFFSET(EVENTOS!$D$15,$B32-$B$15,0),0),IF(B32&lt;=MAX(CÁLCULO!$M$15:$M$59),VLOOKUP($B32,CÁLCULO!$M$15:$N$59,2,FALSE()),0))</f>
        <v>0</v>
      </c>
      <c r="D32" s="378"/>
      <c r="E32" s="379"/>
      <c r="F32" s="0" t="str">
        <f aca="false">IF($C32=0,"",CONCATENATE($B32,". ",$C32))</f>
        <v/>
      </c>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row>
    <row r="33" customFormat="false" ht="12.75" hidden="false" customHeight="false" outlineLevel="0" collapsed="false">
      <c r="A33" s="48" t="str">
        <f aca="false">IF(AUTOEVENTO="Manual",IF(EVENTOS!$F33&gt;0,"F",""),IF(AND(B33&gt;0,B33&lt;=MAX(CÁLCULO!$M$15:$M$59)),"F",""))</f>
        <v/>
      </c>
      <c r="B33" s="376" t="n">
        <f aca="true">OFFSET(B33,-1,0)+1</f>
        <v>18</v>
      </c>
      <c r="C33" s="377" t="n">
        <f aca="true">IF(AUTOEVENTO="Manual",IF($B33&gt;0,OFFSET(EVENTOS!$D$15,$B33-$B$15,0),0),IF(B33&lt;=MAX(CÁLCULO!$M$15:$M$59),VLOOKUP($B33,CÁLCULO!$M$15:$N$59,2,FALSE()),0))</f>
        <v>0</v>
      </c>
      <c r="D33" s="378"/>
      <c r="E33" s="379"/>
      <c r="F33" s="0" t="str">
        <f aca="false">IF($C33=0,"",CONCATENATE($B33,". ",$C33))</f>
        <v/>
      </c>
      <c r="G33" s="380"/>
      <c r="H33" s="380"/>
      <c r="I33" s="380"/>
      <c r="J33" s="380"/>
      <c r="K33" s="380"/>
      <c r="L33" s="380"/>
      <c r="M33" s="380"/>
      <c r="N33" s="380"/>
      <c r="O33" s="380"/>
      <c r="P33" s="380"/>
      <c r="Q33" s="380"/>
      <c r="R33" s="380"/>
      <c r="S33" s="380"/>
      <c r="T33" s="380"/>
      <c r="U33" s="380"/>
      <c r="V33" s="380"/>
      <c r="W33" s="380"/>
      <c r="X33" s="380"/>
      <c r="Y33" s="380"/>
      <c r="Z33" s="380"/>
      <c r="AA33" s="380"/>
      <c r="AB33" s="380"/>
      <c r="AC33" s="380"/>
      <c r="AD33" s="380"/>
      <c r="AE33" s="380"/>
    </row>
    <row r="34" customFormat="false" ht="12.75" hidden="false" customHeight="false" outlineLevel="0" collapsed="false">
      <c r="A34" s="48" t="str">
        <f aca="false">IF(AUTOEVENTO="Manual",IF(EVENTOS!$F34&gt;0,"F",""),IF(AND(B34&gt;0,B34&lt;=MAX(CÁLCULO!$M$15:$M$59)),"F",""))</f>
        <v/>
      </c>
      <c r="B34" s="376" t="n">
        <f aca="true">OFFSET(B34,-1,0)+1</f>
        <v>19</v>
      </c>
      <c r="C34" s="377" t="n">
        <f aca="true">IF(AUTOEVENTO="Manual",IF($B34&gt;0,OFFSET(EVENTOS!$D$15,$B34-$B$15,0),0),IF(B34&lt;=MAX(CÁLCULO!$M$15:$M$59),VLOOKUP($B34,CÁLCULO!$M$15:$N$59,2,FALSE()),0))</f>
        <v>0</v>
      </c>
      <c r="D34" s="378"/>
      <c r="E34" s="379"/>
      <c r="F34" s="0" t="str">
        <f aca="false">IF($C34=0,"",CONCATENATE($B34,". ",$C34))</f>
        <v/>
      </c>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row>
    <row r="35" customFormat="false" ht="12.75" hidden="false" customHeight="false" outlineLevel="0" collapsed="false">
      <c r="A35" s="48" t="str">
        <f aca="false">IF(AUTOEVENTO="Manual",IF(EVENTOS!$F35&gt;0,"F",""),IF(AND(B35&gt;0,B35&lt;=MAX(CÁLCULO!$M$15:$M$59)),"F",""))</f>
        <v/>
      </c>
      <c r="B35" s="376" t="n">
        <f aca="true">OFFSET(B35,-1,0)+1</f>
        <v>20</v>
      </c>
      <c r="C35" s="377" t="n">
        <f aca="true">IF(AUTOEVENTO="Manual",IF($B35&gt;0,OFFSET(EVENTOS!$D$15,$B35-$B$15,0),0),IF(B35&lt;=MAX(CÁLCULO!$M$15:$M$59),VLOOKUP($B35,CÁLCULO!$M$15:$N$59,2,FALSE()),0))</f>
        <v>0</v>
      </c>
      <c r="D35" s="378"/>
      <c r="E35" s="379"/>
      <c r="F35" s="0" t="str">
        <f aca="false">IF($C35=0,"",CONCATENATE($B35,". ",$C35))</f>
        <v/>
      </c>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row>
    <row r="36" customFormat="false" ht="12.75" hidden="false" customHeight="false" outlineLevel="0" collapsed="false">
      <c r="A36" s="48" t="str">
        <f aca="false">IF(AUTOEVENTO="Manual",IF(EVENTOS!$F36&gt;0,"F",""),IF(AND(B36&gt;0,B36&lt;=MAX(CÁLCULO!$M$15:$M$59)),"F",""))</f>
        <v/>
      </c>
      <c r="B36" s="376" t="n">
        <f aca="true">OFFSET(B36,-1,0)+1</f>
        <v>21</v>
      </c>
      <c r="C36" s="377" t="n">
        <f aca="true">IF(AUTOEVENTO="Manual",IF($B36&gt;0,OFFSET(EVENTOS!$D$15,$B36-$B$15,0),0),IF(B36&lt;=MAX(CÁLCULO!$M$15:$M$59),VLOOKUP($B36,CÁLCULO!$M$15:$N$59,2,FALSE()),0))</f>
        <v>0</v>
      </c>
      <c r="D36" s="378"/>
      <c r="E36" s="379"/>
      <c r="F36" s="0" t="str">
        <f aca="false">IF($C36=0,"",CONCATENATE($B36,". ",$C36))</f>
        <v/>
      </c>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row>
    <row r="37" customFormat="false" ht="12.75" hidden="false" customHeight="false" outlineLevel="0" collapsed="false">
      <c r="A37" s="48" t="str">
        <f aca="false">IF(AUTOEVENTO="Manual",IF(EVENTOS!$F37&gt;0,"F",""),IF(AND(B37&gt;0,B37&lt;=MAX(CÁLCULO!$M$15:$M$59)),"F",""))</f>
        <v/>
      </c>
      <c r="B37" s="376" t="n">
        <f aca="true">OFFSET(B37,-1,0)+1</f>
        <v>22</v>
      </c>
      <c r="C37" s="377" t="n">
        <f aca="true">IF(AUTOEVENTO="Manual",IF($B37&gt;0,OFFSET(EVENTOS!$D$15,$B37-$B$15,0),0),IF(B37&lt;=MAX(CÁLCULO!$M$15:$M$59),VLOOKUP($B37,CÁLCULO!$M$15:$N$59,2,FALSE()),0))</f>
        <v>0</v>
      </c>
      <c r="D37" s="378"/>
      <c r="E37" s="379"/>
      <c r="F37" s="0" t="str">
        <f aca="false">IF($C37=0,"",CONCATENATE($B37,". ",$C37))</f>
        <v/>
      </c>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row>
    <row r="38" customFormat="false" ht="12.75" hidden="false" customHeight="false" outlineLevel="0" collapsed="false">
      <c r="A38" s="48" t="str">
        <f aca="false">IF(AUTOEVENTO="Manual",IF(EVENTOS!$F38&gt;0,"F",""),IF(AND(B38&gt;0,B38&lt;=MAX(CÁLCULO!$M$15:$M$59)),"F",""))</f>
        <v/>
      </c>
      <c r="B38" s="376" t="n">
        <f aca="true">OFFSET(B38,-1,0)+1</f>
        <v>23</v>
      </c>
      <c r="C38" s="377" t="n">
        <f aca="true">IF(AUTOEVENTO="Manual",IF($B38&gt;0,OFFSET(EVENTOS!$D$15,$B38-$B$15,0),0),IF(B38&lt;=MAX(CÁLCULO!$M$15:$M$59),VLOOKUP($B38,CÁLCULO!$M$15:$N$59,2,FALSE()),0))</f>
        <v>0</v>
      </c>
      <c r="D38" s="378"/>
      <c r="E38" s="379"/>
      <c r="F38" s="0" t="str">
        <f aca="false">IF($C38=0,"",CONCATENATE($B38,". ",$C38))</f>
        <v/>
      </c>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row>
    <row r="39" customFormat="false" ht="12.75" hidden="false" customHeight="false" outlineLevel="0" collapsed="false">
      <c r="A39" s="48" t="str">
        <f aca="false">IF(AUTOEVENTO="Manual",IF(EVENTOS!$F39&gt;0,"F",""),IF(AND(B39&gt;0,B39&lt;=MAX(CÁLCULO!$M$15:$M$59)),"F",""))</f>
        <v/>
      </c>
      <c r="B39" s="376" t="n">
        <f aca="true">OFFSET(B39,-1,0)+1</f>
        <v>24</v>
      </c>
      <c r="C39" s="377" t="n">
        <f aca="true">IF(AUTOEVENTO="Manual",IF($B39&gt;0,OFFSET(EVENTOS!$D$15,$B39-$B$15,0),0),IF(B39&lt;=MAX(CÁLCULO!$M$15:$M$59),VLOOKUP($B39,CÁLCULO!$M$15:$N$59,2,FALSE()),0))</f>
        <v>0</v>
      </c>
      <c r="D39" s="378"/>
      <c r="E39" s="379"/>
      <c r="F39" s="0" t="str">
        <f aca="false">IF($C39=0,"",CONCATENATE($B39,". ",$C39))</f>
        <v/>
      </c>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row>
    <row r="40" customFormat="false" ht="12.75" hidden="false" customHeight="false" outlineLevel="0" collapsed="false">
      <c r="A40" s="48" t="str">
        <f aca="false">IF(AUTOEVENTO="Manual",IF(EVENTOS!$F40&gt;0,"F",""),IF(AND(B40&gt;0,B40&lt;=MAX(CÁLCULO!$M$15:$M$59)),"F",""))</f>
        <v/>
      </c>
      <c r="B40" s="376" t="n">
        <f aca="true">OFFSET(B40,-1,0)+1</f>
        <v>25</v>
      </c>
      <c r="C40" s="377" t="n">
        <f aca="true">IF(AUTOEVENTO="Manual",IF($B40&gt;0,OFFSET(EVENTOS!$D$15,$B40-$B$15,0),0),IF(B40&lt;=MAX(CÁLCULO!$M$15:$M$59),VLOOKUP($B40,CÁLCULO!$M$15:$N$59,2,FALSE()),0))</f>
        <v>0</v>
      </c>
      <c r="D40" s="378"/>
      <c r="E40" s="379"/>
      <c r="F40" s="0" t="str">
        <f aca="false">IF($C40=0,"",CONCATENATE($B40,". ",$C40))</f>
        <v/>
      </c>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row>
    <row r="41" customFormat="false" ht="12.75" hidden="false" customHeight="false" outlineLevel="0" collapsed="false">
      <c r="A41" s="48" t="str">
        <f aca="false">IF(AUTOEVENTO="Manual",IF(EVENTOS!$F41&gt;0,"F",""),IF(AND(B41&gt;0,B41&lt;=MAX(CÁLCULO!$M$15:$M$59)),"F",""))</f>
        <v/>
      </c>
      <c r="B41" s="376" t="n">
        <f aca="true">OFFSET(B41,-1,0)+1</f>
        <v>26</v>
      </c>
      <c r="C41" s="377" t="n">
        <f aca="true">IF(AUTOEVENTO="Manual",IF($B41&gt;0,OFFSET(EVENTOS!$D$15,$B41-$B$15,0),0),IF(B41&lt;=MAX(CÁLCULO!$M$15:$M$59),VLOOKUP($B41,CÁLCULO!$M$15:$N$59,2,FALSE()),0))</f>
        <v>0</v>
      </c>
      <c r="D41" s="378"/>
      <c r="E41" s="379"/>
      <c r="F41" s="0" t="str">
        <f aca="false">IF($C41=0,"",CONCATENATE($B41,". ",$C41))</f>
        <v/>
      </c>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0"/>
    </row>
    <row r="42" customFormat="false" ht="12.75" hidden="false" customHeight="false" outlineLevel="0" collapsed="false">
      <c r="A42" s="48" t="str">
        <f aca="false">IF(AUTOEVENTO="Manual",IF(EVENTOS!$F42&gt;0,"F",""),IF(AND(B42&gt;0,B42&lt;=MAX(CÁLCULO!$M$15:$M$59)),"F",""))</f>
        <v/>
      </c>
      <c r="B42" s="376" t="n">
        <f aca="true">OFFSET(B42,-1,0)+1</f>
        <v>27</v>
      </c>
      <c r="C42" s="377" t="n">
        <f aca="true">IF(AUTOEVENTO="Manual",IF($B42&gt;0,OFFSET(EVENTOS!$D$15,$B42-$B$15,0),0),IF(B42&lt;=MAX(CÁLCULO!$M$15:$M$59),VLOOKUP($B42,CÁLCULO!$M$15:$N$59,2,FALSE()),0))</f>
        <v>0</v>
      </c>
      <c r="D42" s="378"/>
      <c r="E42" s="379"/>
      <c r="F42" s="0" t="str">
        <f aca="false">IF($C42=0,"",CONCATENATE($B42,". ",$C42))</f>
        <v/>
      </c>
      <c r="G42" s="380"/>
      <c r="H42" s="380"/>
      <c r="I42" s="380"/>
      <c r="J42" s="380"/>
      <c r="K42" s="380"/>
      <c r="L42" s="380"/>
      <c r="M42" s="380"/>
      <c r="N42" s="380"/>
      <c r="O42" s="380"/>
      <c r="P42" s="380"/>
      <c r="Q42" s="380"/>
      <c r="R42" s="380"/>
      <c r="S42" s="380"/>
      <c r="T42" s="380"/>
      <c r="U42" s="380"/>
      <c r="V42" s="380"/>
      <c r="W42" s="380"/>
      <c r="X42" s="380"/>
      <c r="Y42" s="380"/>
      <c r="Z42" s="380"/>
      <c r="AA42" s="380"/>
      <c r="AB42" s="380"/>
      <c r="AC42" s="380"/>
      <c r="AD42" s="380"/>
      <c r="AE42" s="380"/>
    </row>
    <row r="43" customFormat="false" ht="12.75" hidden="false" customHeight="false" outlineLevel="0" collapsed="false">
      <c r="A43" s="48" t="str">
        <f aca="false">IF(AUTOEVENTO="Manual",IF(EVENTOS!$F43&gt;0,"F",""),IF(AND(B43&gt;0,B43&lt;=MAX(CÁLCULO!$M$15:$M$59)),"F",""))</f>
        <v/>
      </c>
      <c r="B43" s="376" t="n">
        <f aca="true">OFFSET(B43,-1,0)+1</f>
        <v>28</v>
      </c>
      <c r="C43" s="377" t="n">
        <f aca="true">IF(AUTOEVENTO="Manual",IF($B43&gt;0,OFFSET(EVENTOS!$D$15,$B43-$B$15,0),0),IF(B43&lt;=MAX(CÁLCULO!$M$15:$M$59),VLOOKUP($B43,CÁLCULO!$M$15:$N$59,2,FALSE()),0))</f>
        <v>0</v>
      </c>
      <c r="D43" s="378"/>
      <c r="E43" s="379"/>
      <c r="F43" s="0" t="str">
        <f aca="false">IF($C43=0,"",CONCATENATE($B43,". ",$C43))</f>
        <v/>
      </c>
      <c r="G43" s="380"/>
      <c r="H43" s="380"/>
      <c r="I43" s="380"/>
      <c r="J43" s="380"/>
      <c r="K43" s="380"/>
      <c r="L43" s="380"/>
      <c r="M43" s="380"/>
      <c r="N43" s="380"/>
      <c r="O43" s="380"/>
      <c r="P43" s="380"/>
      <c r="Q43" s="380"/>
      <c r="R43" s="380"/>
      <c r="S43" s="380"/>
      <c r="T43" s="380"/>
      <c r="U43" s="380"/>
      <c r="V43" s="380"/>
      <c r="W43" s="380"/>
      <c r="X43" s="380"/>
      <c r="Y43" s="380"/>
      <c r="Z43" s="380"/>
      <c r="AA43" s="380"/>
      <c r="AB43" s="380"/>
      <c r="AC43" s="380"/>
      <c r="AD43" s="380"/>
      <c r="AE43" s="380"/>
    </row>
    <row r="44" customFormat="false" ht="12.75" hidden="false" customHeight="false" outlineLevel="0" collapsed="false">
      <c r="A44" s="48" t="str">
        <f aca="false">IF(AUTOEVENTO="Manual",IF(EVENTOS!$F44&gt;0,"F",""),IF(AND(B44&gt;0,B44&lt;=MAX(CÁLCULO!$M$15:$M$59)),"F",""))</f>
        <v/>
      </c>
      <c r="B44" s="376" t="n">
        <f aca="true">OFFSET(B44,-1,0)+1</f>
        <v>29</v>
      </c>
      <c r="C44" s="377" t="n">
        <f aca="true">IF(AUTOEVENTO="Manual",IF($B44&gt;0,OFFSET(EVENTOS!$D$15,$B44-$B$15,0),0),IF(B44&lt;=MAX(CÁLCULO!$M$15:$M$59),VLOOKUP($B44,CÁLCULO!$M$15:$N$59,2,FALSE()),0))</f>
        <v>0</v>
      </c>
      <c r="D44" s="378"/>
      <c r="E44" s="379"/>
      <c r="F44" s="0" t="str">
        <f aca="false">IF($C44=0,"",CONCATENATE($B44,". ",$C44))</f>
        <v/>
      </c>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D44" s="380"/>
      <c r="AE44" s="380"/>
    </row>
    <row r="45" customFormat="false" ht="12.75" hidden="false" customHeight="false" outlineLevel="0" collapsed="false">
      <c r="A45" s="48" t="str">
        <f aca="false">IF(AUTOEVENTO="Manual",IF(EVENTOS!$F45&gt;0,"F",""),IF(AND(B45&gt;0,B45&lt;=MAX(CÁLCULO!$M$15:$M$59)),"F",""))</f>
        <v/>
      </c>
      <c r="B45" s="376" t="n">
        <f aca="true">OFFSET(B45,-1,0)+1</f>
        <v>30</v>
      </c>
      <c r="C45" s="377" t="n">
        <f aca="true">IF(AUTOEVENTO="Manual",IF($B45&gt;0,OFFSET(EVENTOS!$D$15,$B45-$B$15,0),0),IF(B45&lt;=MAX(CÁLCULO!$M$15:$M$59),VLOOKUP($B45,CÁLCULO!$M$15:$N$59,2,FALSE()),0))</f>
        <v>0</v>
      </c>
      <c r="D45" s="378"/>
      <c r="E45" s="379"/>
      <c r="F45" s="0" t="str">
        <f aca="false">IF($C45=0,"",CONCATENATE($B45,". ",$C45))</f>
        <v/>
      </c>
      <c r="G45" s="380"/>
      <c r="H45" s="380"/>
      <c r="I45" s="380"/>
      <c r="J45" s="380"/>
      <c r="K45" s="380"/>
      <c r="L45" s="380"/>
      <c r="M45" s="380"/>
      <c r="N45" s="380"/>
      <c r="O45" s="380"/>
      <c r="P45" s="380"/>
      <c r="Q45" s="380"/>
      <c r="R45" s="380"/>
      <c r="S45" s="380"/>
      <c r="T45" s="380"/>
      <c r="U45" s="380"/>
      <c r="V45" s="380"/>
      <c r="W45" s="380"/>
      <c r="X45" s="380"/>
      <c r="Y45" s="380"/>
      <c r="Z45" s="380"/>
      <c r="AA45" s="380"/>
      <c r="AB45" s="380"/>
      <c r="AC45" s="380"/>
      <c r="AD45" s="380"/>
      <c r="AE45" s="380"/>
    </row>
    <row r="46" customFormat="false" ht="12.75" hidden="false" customHeight="false" outlineLevel="0" collapsed="false">
      <c r="A46" s="48" t="str">
        <f aca="false">IF(AUTOEVENTO="Manual",IF(EVENTOS!$F46&gt;0,"F",""),IF(AND(B46&gt;0,B46&lt;=MAX(CÁLCULO!$M$15:$M$59)),"F",""))</f>
        <v/>
      </c>
      <c r="B46" s="376" t="n">
        <f aca="true">OFFSET(B46,-1,0)+1</f>
        <v>31</v>
      </c>
      <c r="C46" s="377" t="n">
        <f aca="true">IF(AUTOEVENTO="Manual",IF($B46&gt;0,OFFSET(EVENTOS!$D$15,$B46-$B$15,0),0),IF(B46&lt;=MAX(CÁLCULO!$M$15:$M$59),VLOOKUP($B46,CÁLCULO!$M$15:$N$59,2,FALSE()),0))</f>
        <v>0</v>
      </c>
      <c r="D46" s="378"/>
      <c r="E46" s="379"/>
      <c r="F46" s="0" t="str">
        <f aca="false">IF($C46=0,"",CONCATENATE($B46,". ",$C46))</f>
        <v/>
      </c>
      <c r="G46" s="380"/>
      <c r="H46" s="380"/>
      <c r="I46" s="380"/>
      <c r="J46" s="380"/>
      <c r="K46" s="380"/>
      <c r="L46" s="380"/>
      <c r="M46" s="380"/>
      <c r="N46" s="380"/>
      <c r="O46" s="380"/>
      <c r="P46" s="380"/>
      <c r="Q46" s="380"/>
      <c r="R46" s="380"/>
      <c r="S46" s="380"/>
      <c r="T46" s="380"/>
      <c r="U46" s="380"/>
      <c r="V46" s="380"/>
      <c r="W46" s="380"/>
      <c r="X46" s="380"/>
      <c r="Y46" s="380"/>
      <c r="Z46" s="380"/>
      <c r="AA46" s="380"/>
      <c r="AB46" s="380"/>
      <c r="AC46" s="380"/>
      <c r="AD46" s="380"/>
      <c r="AE46" s="380"/>
    </row>
    <row r="47" customFormat="false" ht="12.75" hidden="false" customHeight="false" outlineLevel="0" collapsed="false">
      <c r="A47" s="48" t="str">
        <f aca="false">IF(AUTOEVENTO="Manual",IF(EVENTOS!$F47&gt;0,"F",""),IF(AND(B47&gt;0,B47&lt;=MAX(CÁLCULO!$M$15:$M$59)),"F",""))</f>
        <v/>
      </c>
      <c r="B47" s="376" t="n">
        <f aca="true">OFFSET(B47,-1,0)+1</f>
        <v>32</v>
      </c>
      <c r="C47" s="377" t="n">
        <f aca="true">IF(AUTOEVENTO="Manual",IF($B47&gt;0,OFFSET(EVENTOS!$D$15,$B47-$B$15,0),0),IF(B47&lt;=MAX(CÁLCULO!$M$15:$M$59),VLOOKUP($B47,CÁLCULO!$M$15:$N$59,2,FALSE()),0))</f>
        <v>0</v>
      </c>
      <c r="D47" s="378"/>
      <c r="E47" s="379"/>
      <c r="F47" s="0" t="str">
        <f aca="false">IF($C47=0,"",CONCATENATE($B47,". ",$C47))</f>
        <v/>
      </c>
      <c r="G47" s="380"/>
      <c r="H47" s="380"/>
      <c r="I47" s="380"/>
      <c r="J47" s="380"/>
      <c r="K47" s="380"/>
      <c r="L47" s="380"/>
      <c r="M47" s="380"/>
      <c r="N47" s="380"/>
      <c r="O47" s="380"/>
      <c r="P47" s="380"/>
      <c r="Q47" s="380"/>
      <c r="R47" s="380"/>
      <c r="S47" s="380"/>
      <c r="T47" s="380"/>
      <c r="U47" s="380"/>
      <c r="V47" s="380"/>
      <c r="W47" s="380"/>
      <c r="X47" s="380"/>
      <c r="Y47" s="380"/>
      <c r="Z47" s="380"/>
      <c r="AA47" s="380"/>
      <c r="AB47" s="380"/>
      <c r="AC47" s="380"/>
      <c r="AD47" s="380"/>
      <c r="AE47" s="380"/>
    </row>
    <row r="48" customFormat="false" ht="12.75" hidden="false" customHeight="false" outlineLevel="0" collapsed="false">
      <c r="A48" s="48" t="str">
        <f aca="false">IF(AUTOEVENTO="Manual",IF(EVENTOS!$F48&gt;0,"F",""),IF(AND(B48&gt;0,B48&lt;=MAX(CÁLCULO!$M$15:$M$59)),"F",""))</f>
        <v/>
      </c>
      <c r="B48" s="376" t="n">
        <f aca="true">OFFSET(B48,-1,0)+1</f>
        <v>33</v>
      </c>
      <c r="C48" s="377" t="n">
        <f aca="true">IF(AUTOEVENTO="Manual",IF($B48&gt;0,OFFSET(EVENTOS!$D$15,$B48-$B$15,0),0),IF(B48&lt;=MAX(CÁLCULO!$M$15:$M$59),VLOOKUP($B48,CÁLCULO!$M$15:$N$59,2,FALSE()),0))</f>
        <v>0</v>
      </c>
      <c r="D48" s="378"/>
      <c r="E48" s="379"/>
      <c r="F48" s="0" t="str">
        <f aca="false">IF($C48=0,"",CONCATENATE($B48,". ",$C48))</f>
        <v/>
      </c>
      <c r="G48" s="380"/>
      <c r="H48" s="380"/>
      <c r="I48" s="380"/>
      <c r="J48" s="380"/>
      <c r="K48" s="380"/>
      <c r="L48" s="380"/>
      <c r="M48" s="380"/>
      <c r="N48" s="380"/>
      <c r="O48" s="380"/>
      <c r="P48" s="380"/>
      <c r="Q48" s="380"/>
      <c r="R48" s="380"/>
      <c r="S48" s="380"/>
      <c r="T48" s="380"/>
      <c r="U48" s="380"/>
      <c r="V48" s="380"/>
      <c r="W48" s="380"/>
      <c r="X48" s="380"/>
      <c r="Y48" s="380"/>
      <c r="Z48" s="380"/>
      <c r="AA48" s="380"/>
      <c r="AB48" s="380"/>
      <c r="AC48" s="380"/>
      <c r="AD48" s="380"/>
      <c r="AE48" s="380"/>
    </row>
    <row r="49" customFormat="false" ht="12.75" hidden="false" customHeight="false" outlineLevel="0" collapsed="false">
      <c r="A49" s="48" t="str">
        <f aca="false">IF(AUTOEVENTO="Manual",IF(EVENTOS!$F49&gt;0,"F",""),IF(AND(B49&gt;0,B49&lt;=MAX(CÁLCULO!$M$15:$M$59)),"F",""))</f>
        <v/>
      </c>
      <c r="B49" s="376" t="n">
        <f aca="true">OFFSET(B49,-1,0)+1</f>
        <v>34</v>
      </c>
      <c r="C49" s="377" t="n">
        <f aca="true">IF(AUTOEVENTO="Manual",IF($B49&gt;0,OFFSET(EVENTOS!$D$15,$B49-$B$15,0),0),IF(B49&lt;=MAX(CÁLCULO!$M$15:$M$59),VLOOKUP($B49,CÁLCULO!$M$15:$N$59,2,FALSE()),0))</f>
        <v>0</v>
      </c>
      <c r="D49" s="378"/>
      <c r="E49" s="379"/>
      <c r="F49" s="0" t="str">
        <f aca="false">IF($C49=0,"",CONCATENATE($B49,". ",$C49))</f>
        <v/>
      </c>
      <c r="G49" s="380"/>
      <c r="H49" s="380"/>
      <c r="I49" s="380"/>
      <c r="J49" s="380"/>
      <c r="K49" s="380"/>
      <c r="L49" s="380"/>
      <c r="M49" s="380"/>
      <c r="N49" s="380"/>
      <c r="O49" s="380"/>
      <c r="P49" s="380"/>
      <c r="Q49" s="380"/>
      <c r="R49" s="380"/>
      <c r="S49" s="380"/>
      <c r="T49" s="380"/>
      <c r="U49" s="380"/>
      <c r="V49" s="380"/>
      <c r="W49" s="380"/>
      <c r="X49" s="380"/>
      <c r="Y49" s="380"/>
      <c r="Z49" s="380"/>
      <c r="AA49" s="380"/>
      <c r="AB49" s="380"/>
      <c r="AC49" s="380"/>
      <c r="AD49" s="380"/>
      <c r="AE49" s="380"/>
    </row>
    <row r="50" customFormat="false" ht="12.75" hidden="false" customHeight="false" outlineLevel="0" collapsed="false">
      <c r="A50" s="48" t="str">
        <f aca="false">IF(AUTOEVENTO="Manual",IF(EVENTOS!$F50&gt;0,"F",""),IF(AND(B50&gt;0,B50&lt;=MAX(CÁLCULO!$M$15:$M$59)),"F",""))</f>
        <v/>
      </c>
      <c r="B50" s="376" t="n">
        <f aca="true">OFFSET(B50,-1,0)+1</f>
        <v>35</v>
      </c>
      <c r="C50" s="377" t="n">
        <f aca="true">IF(AUTOEVENTO="Manual",IF($B50&gt;0,OFFSET(EVENTOS!$D$15,$B50-$B$15,0),0),IF(B50&lt;=MAX(CÁLCULO!$M$15:$M$59),VLOOKUP($B50,CÁLCULO!$M$15:$N$59,2,FALSE()),0))</f>
        <v>0</v>
      </c>
      <c r="D50" s="378"/>
      <c r="E50" s="379"/>
      <c r="F50" s="0" t="str">
        <f aca="false">IF($C50=0,"",CONCATENATE($B50,". ",$C50))</f>
        <v/>
      </c>
      <c r="G50" s="380"/>
      <c r="H50" s="380"/>
      <c r="I50" s="380"/>
      <c r="J50" s="380"/>
      <c r="K50" s="380"/>
      <c r="L50" s="380"/>
      <c r="M50" s="380"/>
      <c r="N50" s="380"/>
      <c r="O50" s="380"/>
      <c r="P50" s="380"/>
      <c r="Q50" s="380"/>
      <c r="R50" s="380"/>
      <c r="S50" s="380"/>
      <c r="T50" s="380"/>
      <c r="U50" s="380"/>
      <c r="V50" s="380"/>
      <c r="W50" s="380"/>
      <c r="X50" s="380"/>
      <c r="Y50" s="380"/>
      <c r="Z50" s="380"/>
      <c r="AA50" s="380"/>
      <c r="AB50" s="380"/>
      <c r="AC50" s="380"/>
      <c r="AD50" s="380"/>
      <c r="AE50" s="380"/>
    </row>
    <row r="51" customFormat="false" ht="12.75" hidden="false" customHeight="false" outlineLevel="0" collapsed="false">
      <c r="A51" s="48" t="str">
        <f aca="false">IF(AUTOEVENTO="Manual",IF(EVENTOS!$F51&gt;0,"F",""),IF(AND(B51&gt;0,B51&lt;=MAX(CÁLCULO!$M$15:$M$59)),"F",""))</f>
        <v/>
      </c>
      <c r="B51" s="376" t="n">
        <f aca="true">OFFSET(B51,-1,0)+1</f>
        <v>36</v>
      </c>
      <c r="C51" s="377" t="n">
        <f aca="true">IF(AUTOEVENTO="Manual",IF($B51&gt;0,OFFSET(EVENTOS!$D$15,$B51-$B$15,0),0),IF(B51&lt;=MAX(CÁLCULO!$M$15:$M$59),VLOOKUP($B51,CÁLCULO!$M$15:$N$59,2,FALSE()),0))</f>
        <v>0</v>
      </c>
      <c r="D51" s="378"/>
      <c r="E51" s="379"/>
      <c r="F51" s="0" t="str">
        <f aca="false">IF($C51=0,"",CONCATENATE($B51,". ",$C51))</f>
        <v/>
      </c>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row>
    <row r="52" customFormat="false" ht="12.75" hidden="false" customHeight="false" outlineLevel="0" collapsed="false">
      <c r="A52" s="48" t="str">
        <f aca="false">IF(AUTOEVENTO="Manual",IF(EVENTOS!$F52&gt;0,"F",""),IF(AND(B52&gt;0,B52&lt;=MAX(CÁLCULO!$M$15:$M$59)),"F",""))</f>
        <v/>
      </c>
      <c r="B52" s="376" t="n">
        <f aca="true">OFFSET(B52,-1,0)+1</f>
        <v>37</v>
      </c>
      <c r="C52" s="377" t="n">
        <f aca="true">IF(AUTOEVENTO="Manual",IF($B52&gt;0,OFFSET(EVENTOS!$D$15,$B52-$B$15,0),0),IF(B52&lt;=MAX(CÁLCULO!$M$15:$M$59),VLOOKUP($B52,CÁLCULO!$M$15:$N$59,2,FALSE()),0))</f>
        <v>0</v>
      </c>
      <c r="D52" s="378"/>
      <c r="E52" s="379"/>
      <c r="F52" s="0" t="str">
        <f aca="false">IF($C52=0,"",CONCATENATE($B52,". ",$C52))</f>
        <v/>
      </c>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row>
    <row r="53" customFormat="false" ht="12.75" hidden="false" customHeight="false" outlineLevel="0" collapsed="false">
      <c r="A53" s="48" t="str">
        <f aca="false">IF(AUTOEVENTO="Manual",IF(EVENTOS!$F53&gt;0,"F",""),IF(AND(B53&gt;0,B53&lt;=MAX(CÁLCULO!$M$15:$M$59)),"F",""))</f>
        <v/>
      </c>
      <c r="B53" s="376" t="n">
        <f aca="true">OFFSET(B53,-1,0)+1</f>
        <v>38</v>
      </c>
      <c r="C53" s="377" t="n">
        <f aca="true">IF(AUTOEVENTO="Manual",IF($B53&gt;0,OFFSET(EVENTOS!$D$15,$B53-$B$15,0),0),IF(B53&lt;=MAX(CÁLCULO!$M$15:$M$59),VLOOKUP($B53,CÁLCULO!$M$15:$N$59,2,FALSE()),0))</f>
        <v>0</v>
      </c>
      <c r="D53" s="378"/>
      <c r="E53" s="379"/>
      <c r="F53" s="0" t="str">
        <f aca="false">IF($C53=0,"",CONCATENATE($B53,". ",$C53))</f>
        <v/>
      </c>
      <c r="G53" s="380"/>
      <c r="H53" s="380"/>
      <c r="I53" s="380"/>
      <c r="J53" s="380"/>
      <c r="K53" s="380"/>
      <c r="L53" s="380"/>
      <c r="M53" s="380"/>
      <c r="N53" s="380"/>
      <c r="O53" s="380"/>
      <c r="P53" s="380"/>
      <c r="Q53" s="380"/>
      <c r="R53" s="380"/>
      <c r="S53" s="380"/>
      <c r="T53" s="380"/>
      <c r="U53" s="380"/>
      <c r="V53" s="380"/>
      <c r="W53" s="380"/>
      <c r="X53" s="380"/>
      <c r="Y53" s="380"/>
      <c r="Z53" s="380"/>
      <c r="AA53" s="380"/>
      <c r="AB53" s="380"/>
      <c r="AC53" s="380"/>
      <c r="AD53" s="380"/>
      <c r="AE53" s="380"/>
    </row>
    <row r="54" customFormat="false" ht="12.75" hidden="false" customHeight="false" outlineLevel="0" collapsed="false">
      <c r="A54" s="48" t="str">
        <f aca="false">IF(AUTOEVENTO="Manual",IF(EVENTOS!$F54&gt;0,"F",""),IF(AND(B54&gt;0,B54&lt;=MAX(CÁLCULO!$M$15:$M$59)),"F",""))</f>
        <v/>
      </c>
      <c r="B54" s="376" t="n">
        <f aca="true">OFFSET(B54,-1,0)+1</f>
        <v>39</v>
      </c>
      <c r="C54" s="377" t="n">
        <f aca="true">IF(AUTOEVENTO="Manual",IF($B54&gt;0,OFFSET(EVENTOS!$D$15,$B54-$B$15,0),0),IF(B54&lt;=MAX(CÁLCULO!$M$15:$M$59),VLOOKUP($B54,CÁLCULO!$M$15:$N$59,2,FALSE()),0))</f>
        <v>0</v>
      </c>
      <c r="D54" s="378"/>
      <c r="E54" s="379"/>
      <c r="F54" s="0" t="str">
        <f aca="false">IF($C54=0,"",CONCATENATE($B54,". ",$C54))</f>
        <v/>
      </c>
      <c r="G54" s="380"/>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row>
    <row r="55" customFormat="false" ht="12.75" hidden="false" customHeight="false" outlineLevel="0" collapsed="false">
      <c r="A55" s="48" t="str">
        <f aca="false">IF(AUTOEVENTO="Manual",IF(EVENTOS!$F55&gt;0,"F",""),IF(AND(B55&gt;0,B55&lt;=MAX(CÁLCULO!$M$15:$M$59)),"F",""))</f>
        <v/>
      </c>
      <c r="B55" s="376" t="n">
        <f aca="true">OFFSET(B55,-1,0)+1</f>
        <v>40</v>
      </c>
      <c r="C55" s="377" t="n">
        <f aca="true">IF(AUTOEVENTO="Manual",IF($B55&gt;0,OFFSET(EVENTOS!$D$15,$B55-$B$15,0),0),IF(B55&lt;=MAX(CÁLCULO!$M$15:$M$59),VLOOKUP($B55,CÁLCULO!$M$15:$N$59,2,FALSE()),0))</f>
        <v>0</v>
      </c>
      <c r="D55" s="378"/>
      <c r="E55" s="379"/>
      <c r="F55" s="0" t="str">
        <f aca="false">IF($C55=0,"",CONCATENATE($B55,". ",$C55))</f>
        <v/>
      </c>
      <c r="G55" s="380"/>
      <c r="H55" s="380"/>
      <c r="I55" s="380"/>
      <c r="J55" s="380"/>
      <c r="K55" s="380"/>
      <c r="L55" s="380"/>
      <c r="M55" s="380"/>
      <c r="N55" s="380"/>
      <c r="O55" s="380"/>
      <c r="P55" s="380"/>
      <c r="Q55" s="380"/>
      <c r="R55" s="380"/>
      <c r="S55" s="380"/>
      <c r="T55" s="380"/>
      <c r="U55" s="380"/>
      <c r="V55" s="380"/>
      <c r="W55" s="380"/>
      <c r="X55" s="380"/>
      <c r="Y55" s="380"/>
      <c r="Z55" s="380"/>
      <c r="AA55" s="380"/>
      <c r="AB55" s="380"/>
      <c r="AC55" s="380"/>
      <c r="AD55" s="380"/>
      <c r="AE55" s="380"/>
    </row>
    <row r="56" customFormat="false" ht="12.75" hidden="false" customHeight="false" outlineLevel="0" collapsed="false">
      <c r="A56" s="48" t="str">
        <f aca="false">IF(AUTOEVENTO="Manual",IF(EVENTOS!$F56&gt;0,"F",""),IF(AND(B56&gt;0,B56&lt;=MAX(CÁLCULO!$M$15:$M$59)),"F",""))</f>
        <v/>
      </c>
      <c r="B56" s="376" t="n">
        <f aca="true">OFFSET(B56,-1,0)+1</f>
        <v>41</v>
      </c>
      <c r="C56" s="377" t="n">
        <f aca="true">IF(AUTOEVENTO="Manual",IF($B56&gt;0,OFFSET(EVENTOS!$D$15,$B56-$B$15,0),0),IF(B56&lt;=MAX(CÁLCULO!$M$15:$M$59),VLOOKUP($B56,CÁLCULO!$M$15:$N$59,2,FALSE()),0))</f>
        <v>0</v>
      </c>
      <c r="D56" s="378"/>
      <c r="E56" s="379"/>
      <c r="F56" s="0" t="str">
        <f aca="false">IF($C56=0,"",CONCATENATE($B56,". ",$C56))</f>
        <v/>
      </c>
      <c r="G56" s="380"/>
      <c r="H56" s="380"/>
      <c r="I56" s="380"/>
      <c r="J56" s="380"/>
      <c r="K56" s="380"/>
      <c r="L56" s="380"/>
      <c r="M56" s="380"/>
      <c r="N56" s="380"/>
      <c r="O56" s="380"/>
      <c r="P56" s="380"/>
      <c r="Q56" s="380"/>
      <c r="R56" s="380"/>
      <c r="S56" s="380"/>
      <c r="T56" s="380"/>
      <c r="U56" s="380"/>
      <c r="V56" s="380"/>
      <c r="W56" s="380"/>
      <c r="X56" s="380"/>
      <c r="Y56" s="380"/>
      <c r="Z56" s="380"/>
      <c r="AA56" s="380"/>
      <c r="AB56" s="380"/>
      <c r="AC56" s="380"/>
      <c r="AD56" s="380"/>
      <c r="AE56" s="380"/>
    </row>
    <row r="57" customFormat="false" ht="12.75" hidden="false" customHeight="false" outlineLevel="0" collapsed="false">
      <c r="A57" s="48" t="str">
        <f aca="false">IF(AUTOEVENTO="Manual",IF(EVENTOS!$F57&gt;0,"F",""),IF(AND(B57&gt;0,B57&lt;=MAX(CÁLCULO!$M$15:$M$59)),"F",""))</f>
        <v/>
      </c>
      <c r="B57" s="376" t="n">
        <f aca="true">OFFSET(B57,-1,0)+1</f>
        <v>42</v>
      </c>
      <c r="C57" s="377" t="n">
        <f aca="true">IF(AUTOEVENTO="Manual",IF($B57&gt;0,OFFSET(EVENTOS!$D$15,$B57-$B$15,0),0),IF(B57&lt;=MAX(CÁLCULO!$M$15:$M$59),VLOOKUP($B57,CÁLCULO!$M$15:$N$59,2,FALSE()),0))</f>
        <v>0</v>
      </c>
      <c r="D57" s="378"/>
      <c r="E57" s="379"/>
      <c r="F57" s="0" t="str">
        <f aca="false">IF($C57=0,"",CONCATENATE($B57,". ",$C57))</f>
        <v/>
      </c>
      <c r="G57" s="380"/>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row>
    <row r="58" customFormat="false" ht="12.75" hidden="false" customHeight="false" outlineLevel="0" collapsed="false">
      <c r="A58" s="48" t="str">
        <f aca="false">IF(AUTOEVENTO="Manual",IF(EVENTOS!$F58&gt;0,"F",""),IF(AND(B58&gt;0,B58&lt;=MAX(CÁLCULO!$M$15:$M$59)),"F",""))</f>
        <v/>
      </c>
      <c r="B58" s="376" t="n">
        <f aca="true">OFFSET(B58,-1,0)+1</f>
        <v>43</v>
      </c>
      <c r="C58" s="377" t="n">
        <f aca="true">IF(AUTOEVENTO="Manual",IF($B58&gt;0,OFFSET(EVENTOS!$D$15,$B58-$B$15,0),0),IF(B58&lt;=MAX(CÁLCULO!$M$15:$M$59),VLOOKUP($B58,CÁLCULO!$M$15:$N$59,2,FALSE()),0))</f>
        <v>0</v>
      </c>
      <c r="D58" s="378"/>
      <c r="E58" s="379"/>
      <c r="F58" s="0" t="str">
        <f aca="false">IF($C58=0,"",CONCATENATE($B58,". ",$C58))</f>
        <v/>
      </c>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row>
    <row r="59" customFormat="false" ht="12.75" hidden="false" customHeight="false" outlineLevel="0" collapsed="false">
      <c r="A59" s="48" t="str">
        <f aca="false">IF(AUTOEVENTO="Manual",IF(EVENTOS!$F59&gt;0,"F",""),IF(AND(B59&gt;0,B59&lt;=MAX(CÁLCULO!$M$15:$M$59)),"F",""))</f>
        <v/>
      </c>
      <c r="B59" s="376" t="n">
        <f aca="true">OFFSET(B59,-1,0)+1</f>
        <v>44</v>
      </c>
      <c r="C59" s="377" t="n">
        <f aca="true">IF(AUTOEVENTO="Manual",IF($B59&gt;0,OFFSET(EVENTOS!$D$15,$B59-$B$15,0),0),IF(B59&lt;=MAX(CÁLCULO!$M$15:$M$59),VLOOKUP($B59,CÁLCULO!$M$15:$N$59,2,FALSE()),0))</f>
        <v>0</v>
      </c>
      <c r="D59" s="378"/>
      <c r="E59" s="379"/>
      <c r="F59" s="0" t="str">
        <f aca="false">IF($C59=0,"",CONCATENATE($B59,". ",$C59))</f>
        <v/>
      </c>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row>
    <row r="60" customFormat="false" ht="12.75" hidden="false" customHeight="false" outlineLevel="0" collapsed="false">
      <c r="A60" s="48" t="str">
        <f aca="false">IF(AUTOEVENTO="Manual",IF(EVENTOS!$F60&gt;0,"F",""),IF(AND(B60&gt;0,B60&lt;=MAX(CÁLCULO!$M$15:$M$59)),"F",""))</f>
        <v/>
      </c>
      <c r="B60" s="376" t="n">
        <f aca="true">OFFSET(B60,-1,0)+1</f>
        <v>45</v>
      </c>
      <c r="C60" s="377" t="n">
        <f aca="true">IF(AUTOEVENTO="Manual",IF($B60&gt;0,OFFSET(EVENTOS!$D$15,$B60-$B$15,0),0),IF(B60&lt;=MAX(CÁLCULO!$M$15:$M$59),VLOOKUP($B60,CÁLCULO!$M$15:$N$59,2,FALSE()),0))</f>
        <v>0</v>
      </c>
      <c r="D60" s="378"/>
      <c r="E60" s="379"/>
      <c r="F60" s="0" t="str">
        <f aca="false">IF($C60=0,"",CONCATENATE($B60,". ",$C60))</f>
        <v/>
      </c>
      <c r="G60" s="380"/>
      <c r="H60" s="380"/>
      <c r="I60" s="380"/>
      <c r="J60" s="380"/>
      <c r="K60" s="380"/>
      <c r="L60" s="380"/>
      <c r="M60" s="380"/>
      <c r="N60" s="380"/>
      <c r="O60" s="380"/>
      <c r="P60" s="380"/>
      <c r="Q60" s="380"/>
      <c r="R60" s="380"/>
      <c r="S60" s="380"/>
      <c r="T60" s="380"/>
      <c r="U60" s="380"/>
      <c r="V60" s="380"/>
      <c r="W60" s="380"/>
      <c r="X60" s="380"/>
      <c r="Y60" s="380"/>
      <c r="Z60" s="380"/>
      <c r="AA60" s="380"/>
      <c r="AB60" s="380"/>
      <c r="AC60" s="380"/>
      <c r="AD60" s="380"/>
      <c r="AE60" s="380"/>
    </row>
    <row r="61" customFormat="false" ht="12.75" hidden="false" customHeight="false" outlineLevel="0" collapsed="false">
      <c r="A61" s="48" t="str">
        <f aca="false">IF(AUTOEVENTO="Manual",IF(EVENTOS!$F61&gt;0,"F",""),IF(AND(B61&gt;0,B61&lt;=MAX(CÁLCULO!$M$15:$M$59)),"F",""))</f>
        <v/>
      </c>
      <c r="B61" s="376" t="n">
        <f aca="true">OFFSET(B61,-1,0)+1</f>
        <v>46</v>
      </c>
      <c r="C61" s="377" t="n">
        <f aca="true">IF(AUTOEVENTO="Manual",IF($B61&gt;0,OFFSET(EVENTOS!$D$15,$B61-$B$15,0),0),IF(B61&lt;=MAX(CÁLCULO!$M$15:$M$59),VLOOKUP($B61,CÁLCULO!$M$15:$N$59,2,FALSE()),0))</f>
        <v>0</v>
      </c>
      <c r="D61" s="378"/>
      <c r="E61" s="379"/>
      <c r="F61" s="0" t="str">
        <f aca="false">IF($C61=0,"",CONCATENATE($B61,". ",$C61))</f>
        <v/>
      </c>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row>
    <row r="62" customFormat="false" ht="12.75" hidden="false" customHeight="false" outlineLevel="0" collapsed="false">
      <c r="A62" s="48" t="str">
        <f aca="false">IF(AUTOEVENTO="Manual",IF(EVENTOS!$F62&gt;0,"F",""),IF(AND(B62&gt;0,B62&lt;=MAX(CÁLCULO!$M$15:$M$59)),"F",""))</f>
        <v/>
      </c>
      <c r="B62" s="376" t="n">
        <f aca="true">OFFSET(B62,-1,0)+1</f>
        <v>47</v>
      </c>
      <c r="C62" s="377" t="n">
        <f aca="true">IF(AUTOEVENTO="Manual",IF($B62&gt;0,OFFSET(EVENTOS!$D$15,$B62-$B$15,0),0),IF(B62&lt;=MAX(CÁLCULO!$M$15:$M$59),VLOOKUP($B62,CÁLCULO!$M$15:$N$59,2,FALSE()),0))</f>
        <v>0</v>
      </c>
      <c r="D62" s="378"/>
      <c r="E62" s="379"/>
      <c r="F62" s="0" t="str">
        <f aca="false">IF($C62=0,"",CONCATENATE($B62,". ",$C62))</f>
        <v/>
      </c>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row>
    <row r="63" customFormat="false" ht="12.75" hidden="false" customHeight="false" outlineLevel="0" collapsed="false">
      <c r="A63" s="48" t="str">
        <f aca="false">IF(AUTOEVENTO="Manual",IF(EVENTOS!$F63&gt;0,"F",""),IF(AND(B63&gt;0,B63&lt;=MAX(CÁLCULO!$M$15:$M$59)),"F",""))</f>
        <v/>
      </c>
      <c r="B63" s="376" t="n">
        <f aca="true">OFFSET(B63,-1,0)+1</f>
        <v>48</v>
      </c>
      <c r="C63" s="377" t="n">
        <f aca="true">IF(AUTOEVENTO="Manual",IF($B63&gt;0,OFFSET(EVENTOS!$D$15,$B63-$B$15,0),0),IF(B63&lt;=MAX(CÁLCULO!$M$15:$M$59),VLOOKUP($B63,CÁLCULO!$M$15:$N$59,2,FALSE()),0))</f>
        <v>0</v>
      </c>
      <c r="D63" s="378"/>
      <c r="E63" s="379"/>
      <c r="F63" s="0" t="str">
        <f aca="false">IF($C63=0,"",CONCATENATE($B63,". ",$C63))</f>
        <v/>
      </c>
      <c r="G63" s="380"/>
      <c r="H63" s="380"/>
      <c r="I63" s="380"/>
      <c r="J63" s="380"/>
      <c r="K63" s="380"/>
      <c r="L63" s="380"/>
      <c r="M63" s="380"/>
      <c r="N63" s="380"/>
      <c r="O63" s="380"/>
      <c r="P63" s="380"/>
      <c r="Q63" s="380"/>
      <c r="R63" s="380"/>
      <c r="S63" s="380"/>
      <c r="T63" s="380"/>
      <c r="U63" s="380"/>
      <c r="V63" s="380"/>
      <c r="W63" s="380"/>
      <c r="X63" s="380"/>
      <c r="Y63" s="380"/>
      <c r="Z63" s="380"/>
      <c r="AA63" s="380"/>
      <c r="AB63" s="380"/>
      <c r="AC63" s="380"/>
      <c r="AD63" s="380"/>
      <c r="AE63" s="380"/>
    </row>
    <row r="64" customFormat="false" ht="12.75" hidden="false" customHeight="false" outlineLevel="0" collapsed="false">
      <c r="A64" s="48" t="str">
        <f aca="false">IF(AUTOEVENTO="Manual",IF(EVENTOS!$F64&gt;0,"F",""),IF(AND(B64&gt;0,B64&lt;=MAX(CÁLCULO!$M$15:$M$59)),"F",""))</f>
        <v/>
      </c>
      <c r="B64" s="376" t="n">
        <f aca="true">OFFSET(B64,-1,0)+1</f>
        <v>49</v>
      </c>
      <c r="C64" s="377" t="n">
        <f aca="true">IF(AUTOEVENTO="Manual",IF($B64&gt;0,OFFSET(EVENTOS!$D$15,$B64-$B$15,0),0),IF(B64&lt;=MAX(CÁLCULO!$M$15:$M$59),VLOOKUP($B64,CÁLCULO!$M$15:$N$59,2,FALSE()),0))</f>
        <v>0</v>
      </c>
      <c r="D64" s="378"/>
      <c r="E64" s="379"/>
      <c r="F64" s="0" t="str">
        <f aca="false">IF($C64=0,"",CONCATENATE($B64,". ",$C64))</f>
        <v/>
      </c>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row>
    <row r="65" customFormat="false" ht="4.5" hidden="false" customHeight="true" outlineLevel="0" collapsed="false">
      <c r="A65" s="0" t="s">
        <v>596</v>
      </c>
      <c r="B65" s="402"/>
      <c r="C65" s="403"/>
      <c r="D65" s="404"/>
      <c r="E65" s="405"/>
      <c r="F65" s="405"/>
      <c r="G65" s="402"/>
      <c r="H65" s="406"/>
      <c r="I65" s="406"/>
      <c r="J65" s="406"/>
      <c r="K65" s="406"/>
      <c r="L65" s="406"/>
      <c r="M65" s="406"/>
      <c r="N65" s="406"/>
      <c r="O65" s="406"/>
      <c r="P65" s="406"/>
      <c r="Q65" s="406"/>
      <c r="R65" s="406"/>
      <c r="S65" s="406"/>
      <c r="T65" s="406"/>
      <c r="U65" s="406"/>
      <c r="V65" s="406"/>
      <c r="W65" s="406"/>
      <c r="X65" s="406"/>
      <c r="Y65" s="406"/>
      <c r="Z65" s="406"/>
      <c r="AA65" s="406"/>
      <c r="AB65" s="406"/>
      <c r="AC65" s="406"/>
      <c r="AD65" s="406"/>
      <c r="AE65" s="403"/>
    </row>
    <row r="66" customFormat="false" ht="6" hidden="false" customHeight="true" outlineLevel="0" collapsed="false">
      <c r="A66" s="48" t="s">
        <v>596</v>
      </c>
    </row>
    <row r="67" customFormat="false" ht="13.8" hidden="false" customHeight="false" outlineLevel="0" collapsed="false">
      <c r="A67" s="48" t="s">
        <v>596</v>
      </c>
      <c r="C67" s="407" t="s">
        <v>918</v>
      </c>
      <c r="H67" s="408" t="n">
        <f aca="false">(ROW($G67)-ROW($G$67))/8*12+1</f>
        <v>1</v>
      </c>
      <c r="I67" s="408"/>
      <c r="J67" s="408" t="n">
        <f aca="false">H67+1</f>
        <v>2</v>
      </c>
      <c r="K67" s="408"/>
      <c r="L67" s="408" t="n">
        <f aca="false">J67+1</f>
        <v>3</v>
      </c>
      <c r="M67" s="408"/>
      <c r="N67" s="408" t="n">
        <f aca="false">L67+1</f>
        <v>4</v>
      </c>
      <c r="O67" s="408"/>
      <c r="P67" s="408" t="n">
        <f aca="false">N67+1</f>
        <v>5</v>
      </c>
      <c r="Q67" s="408"/>
      <c r="R67" s="408" t="n">
        <f aca="false">P67+1</f>
        <v>6</v>
      </c>
      <c r="S67" s="408"/>
      <c r="T67" s="408" t="n">
        <f aca="false">R67+1</f>
        <v>7</v>
      </c>
      <c r="U67" s="408"/>
      <c r="V67" s="408" t="n">
        <f aca="false">T67+1</f>
        <v>8</v>
      </c>
      <c r="W67" s="408"/>
      <c r="X67" s="408" t="n">
        <f aca="false">V67+1</f>
        <v>9</v>
      </c>
      <c r="Y67" s="408"/>
      <c r="Z67" s="408" t="n">
        <f aca="false">X67+1</f>
        <v>10</v>
      </c>
      <c r="AA67" s="408"/>
      <c r="AB67" s="408" t="n">
        <f aca="false">Z67+1</f>
        <v>11</v>
      </c>
      <c r="AC67" s="408"/>
      <c r="AD67" s="408" t="n">
        <f aca="false">AB67+1</f>
        <v>12</v>
      </c>
      <c r="AE67" s="408"/>
    </row>
    <row r="68" customFormat="false" ht="12.75" hidden="false" customHeight="true" outlineLevel="0" collapsed="false">
      <c r="A68" s="48" t="s">
        <v>596</v>
      </c>
      <c r="C68" s="409" t="s">
        <v>919</v>
      </c>
      <c r="G68" s="410" t="s">
        <v>920</v>
      </c>
      <c r="H68" s="411" t="e">
        <f aca="true">OFFSET(CRONO!$T$51,0,CRONOPLE!H67)</f>
        <v>#DIV/0!</v>
      </c>
      <c r="I68" s="411"/>
      <c r="J68" s="411" t="e">
        <f aca="true">OFFSET(CRONO!$T$51,0,CRONOPLE!J67)</f>
        <v>#DIV/0!</v>
      </c>
      <c r="K68" s="411"/>
      <c r="L68" s="411" t="e">
        <f aca="true">OFFSET(CRONO!$T$51,0,CRONOPLE!L67)</f>
        <v>#DIV/0!</v>
      </c>
      <c r="M68" s="411"/>
      <c r="N68" s="411" t="e">
        <f aca="true">OFFSET(CRONO!$T$51,0,CRONOPLE!N67)</f>
        <v>#DIV/0!</v>
      </c>
      <c r="O68" s="411"/>
      <c r="P68" s="411" t="e">
        <f aca="true">OFFSET(CRONO!$T$51,0,CRONOPLE!P67)</f>
        <v>#DIV/0!</v>
      </c>
      <c r="Q68" s="411"/>
      <c r="R68" s="411" t="e">
        <f aca="true">OFFSET(CRONO!$T$51,0,CRONOPLE!R67)</f>
        <v>#DIV/0!</v>
      </c>
      <c r="S68" s="411"/>
      <c r="T68" s="411" t="e">
        <f aca="true">OFFSET(CRONO!$T$51,0,CRONOPLE!T67)</f>
        <v>#DIV/0!</v>
      </c>
      <c r="U68" s="411"/>
      <c r="V68" s="411" t="e">
        <f aca="true">OFFSET(CRONO!$T$51,0,CRONOPLE!V67)</f>
        <v>#DIV/0!</v>
      </c>
      <c r="W68" s="411"/>
      <c r="X68" s="411" t="e">
        <f aca="true">OFFSET(CRONO!$T$51,0,CRONOPLE!X67)</f>
        <v>#DIV/0!</v>
      </c>
      <c r="Y68" s="411"/>
      <c r="Z68" s="411" t="e">
        <f aca="true">OFFSET(CRONO!$T$51,0,CRONOPLE!Z67)</f>
        <v>#DIV/0!</v>
      </c>
      <c r="AA68" s="411"/>
      <c r="AB68" s="411" t="e">
        <f aca="true">OFFSET(CRONO!$T$51,0,CRONOPLE!AB67)</f>
        <v>#DIV/0!</v>
      </c>
      <c r="AC68" s="411"/>
      <c r="AD68" s="411" t="e">
        <f aca="true">OFFSET(CRONO!$T$51,0,CRONOPLE!AD67)</f>
        <v>#DIV/0!</v>
      </c>
      <c r="AE68" s="411"/>
    </row>
    <row r="69" customFormat="false" ht="12.75" hidden="false" customHeight="true" outlineLevel="0" collapsed="false">
      <c r="A69" s="48" t="s">
        <v>596</v>
      </c>
      <c r="C69" s="409"/>
      <c r="G69" s="412" t="s">
        <v>921</v>
      </c>
      <c r="H69" s="413" t="n">
        <f aca="true">OFFSET(CRONO!$T$55,0,CRONOPLE!H67)</f>
        <v>0</v>
      </c>
      <c r="I69" s="413"/>
      <c r="J69" s="413" t="n">
        <f aca="true">OFFSET(CRONO!$T$55,0,CRONOPLE!J67)</f>
        <v>0</v>
      </c>
      <c r="K69" s="413"/>
      <c r="L69" s="413" t="n">
        <f aca="true">OFFSET(CRONO!$T$55,0,CRONOPLE!L67)</f>
        <v>0</v>
      </c>
      <c r="M69" s="413"/>
      <c r="N69" s="413" t="n">
        <f aca="true">OFFSET(CRONO!$T$55,0,CRONOPLE!N67)</f>
        <v>0</v>
      </c>
      <c r="O69" s="413"/>
      <c r="P69" s="413" t="n">
        <f aca="true">OFFSET(CRONO!$T$55,0,CRONOPLE!P67)</f>
        <v>0</v>
      </c>
      <c r="Q69" s="413"/>
      <c r="R69" s="413" t="n">
        <f aca="true">OFFSET(CRONO!$T$55,0,CRONOPLE!R67)</f>
        <v>0</v>
      </c>
      <c r="S69" s="413"/>
      <c r="T69" s="413" t="n">
        <f aca="true">OFFSET(CRONO!$T$55,0,CRONOPLE!T67)</f>
        <v>0</v>
      </c>
      <c r="U69" s="413"/>
      <c r="V69" s="413" t="n">
        <f aca="true">OFFSET(CRONO!$T$55,0,CRONOPLE!V67)</f>
        <v>0</v>
      </c>
      <c r="W69" s="413"/>
      <c r="X69" s="413" t="n">
        <f aca="true">OFFSET(CRONO!$T$55,0,CRONOPLE!X67)</f>
        <v>0</v>
      </c>
      <c r="Y69" s="413"/>
      <c r="Z69" s="413" t="n">
        <f aca="true">OFFSET(CRONO!$T$55,0,CRONOPLE!Z67)</f>
        <v>0</v>
      </c>
      <c r="AA69" s="413"/>
      <c r="AB69" s="413" t="n">
        <f aca="true">OFFSET(CRONO!$T$55,0,CRONOPLE!AB67)</f>
        <v>0</v>
      </c>
      <c r="AC69" s="413"/>
      <c r="AD69" s="413" t="n">
        <f aca="true">OFFSET(CRONO!$T$55,0,CRONOPLE!AD67)</f>
        <v>0</v>
      </c>
      <c r="AE69" s="413"/>
    </row>
    <row r="70" customFormat="false" ht="12.75" hidden="false" customHeight="true" outlineLevel="0" collapsed="false">
      <c r="A70" s="48" t="s">
        <v>596</v>
      </c>
      <c r="C70" s="414" t="s">
        <v>922</v>
      </c>
      <c r="G70" s="410" t="s">
        <v>920</v>
      </c>
      <c r="H70" s="411" t="e">
        <f aca="true">OFFSET(CRONO!$T$56,0,CRONOPLE!H67)</f>
        <v>#DIV/0!</v>
      </c>
      <c r="I70" s="411"/>
      <c r="J70" s="411" t="e">
        <f aca="true">OFFSET(CRONO!$T$56,0,CRONOPLE!J67)</f>
        <v>#DIV/0!</v>
      </c>
      <c r="K70" s="411"/>
      <c r="L70" s="411" t="e">
        <f aca="true">OFFSET(CRONO!$T$56,0,CRONOPLE!L67)</f>
        <v>#DIV/0!</v>
      </c>
      <c r="M70" s="411"/>
      <c r="N70" s="411" t="e">
        <f aca="true">OFFSET(CRONO!$T$56,0,CRONOPLE!N67)</f>
        <v>#DIV/0!</v>
      </c>
      <c r="O70" s="411"/>
      <c r="P70" s="411" t="e">
        <f aca="true">OFFSET(CRONO!$T$56,0,CRONOPLE!P67)</f>
        <v>#DIV/0!</v>
      </c>
      <c r="Q70" s="411"/>
      <c r="R70" s="411" t="e">
        <f aca="true">OFFSET(CRONO!$T$56,0,CRONOPLE!R67)</f>
        <v>#DIV/0!</v>
      </c>
      <c r="S70" s="411"/>
      <c r="T70" s="411" t="e">
        <f aca="true">OFFSET(CRONO!$T$56,0,CRONOPLE!T67)</f>
        <v>#DIV/0!</v>
      </c>
      <c r="U70" s="411"/>
      <c r="V70" s="411" t="e">
        <f aca="true">OFFSET(CRONO!$T$56,0,CRONOPLE!V67)</f>
        <v>#DIV/0!</v>
      </c>
      <c r="W70" s="411"/>
      <c r="X70" s="411" t="e">
        <f aca="true">OFFSET(CRONO!$T$56,0,CRONOPLE!X67)</f>
        <v>#DIV/0!</v>
      </c>
      <c r="Y70" s="411"/>
      <c r="Z70" s="411" t="e">
        <f aca="true">OFFSET(CRONO!$T$56,0,CRONOPLE!Z67)</f>
        <v>#DIV/0!</v>
      </c>
      <c r="AA70" s="411"/>
      <c r="AB70" s="411" t="e">
        <f aca="true">OFFSET(CRONO!$T$56,0,CRONOPLE!AB67)</f>
        <v>#DIV/0!</v>
      </c>
      <c r="AC70" s="411"/>
      <c r="AD70" s="411" t="e">
        <f aca="true">OFFSET(CRONO!$T$56,0,CRONOPLE!AD67)</f>
        <v>#DIV/0!</v>
      </c>
      <c r="AE70" s="411"/>
    </row>
    <row r="71" customFormat="false" ht="12.75" hidden="false" customHeight="true" outlineLevel="0" collapsed="false">
      <c r="A71" s="48" t="s">
        <v>596</v>
      </c>
      <c r="C71" s="414"/>
      <c r="G71" s="412" t="s">
        <v>921</v>
      </c>
      <c r="H71" s="415" t="n">
        <f aca="true">OFFSET(CRONO!$T$60,0,CRONOPLE!H67)</f>
        <v>0</v>
      </c>
      <c r="I71" s="415"/>
      <c r="J71" s="415" t="n">
        <f aca="true">OFFSET(CRONO!$T$60,0,CRONOPLE!J67)</f>
        <v>0</v>
      </c>
      <c r="K71" s="415"/>
      <c r="L71" s="415" t="n">
        <f aca="true">OFFSET(CRONO!$T$60,0,CRONOPLE!L67)</f>
        <v>0</v>
      </c>
      <c r="M71" s="415"/>
      <c r="N71" s="415" t="n">
        <f aca="true">OFFSET(CRONO!$T$60,0,CRONOPLE!N67)</f>
        <v>0</v>
      </c>
      <c r="O71" s="415"/>
      <c r="P71" s="415" t="n">
        <f aca="true">OFFSET(CRONO!$T$60,0,CRONOPLE!P67)</f>
        <v>0</v>
      </c>
      <c r="Q71" s="415"/>
      <c r="R71" s="415" t="n">
        <f aca="true">OFFSET(CRONO!$T$60,0,CRONOPLE!R67)</f>
        <v>0</v>
      </c>
      <c r="S71" s="415"/>
      <c r="T71" s="415" t="n">
        <f aca="true">OFFSET(CRONO!$T$60,0,CRONOPLE!T67)</f>
        <v>0</v>
      </c>
      <c r="U71" s="415"/>
      <c r="V71" s="415" t="n">
        <f aca="true">OFFSET(CRONO!$T$60,0,CRONOPLE!V67)</f>
        <v>0</v>
      </c>
      <c r="W71" s="415"/>
      <c r="X71" s="415" t="n">
        <f aca="true">OFFSET(CRONO!$T$60,0,CRONOPLE!X67)</f>
        <v>0</v>
      </c>
      <c r="Y71" s="415"/>
      <c r="Z71" s="415" t="n">
        <f aca="true">OFFSET(CRONO!$T$60,0,CRONOPLE!Z67)</f>
        <v>0</v>
      </c>
      <c r="AA71" s="415"/>
      <c r="AB71" s="415" t="n">
        <f aca="true">OFFSET(CRONO!$T$60,0,CRONOPLE!AB67)</f>
        <v>0</v>
      </c>
      <c r="AC71" s="415"/>
      <c r="AD71" s="415" t="n">
        <f aca="true">OFFSET(CRONO!$T$60,0,CRONOPLE!AD67)</f>
        <v>0</v>
      </c>
      <c r="AE71" s="415"/>
    </row>
    <row r="72" customFormat="false" ht="12.75" hidden="false" customHeight="true" outlineLevel="0" collapsed="false">
      <c r="A72" s="48" t="s">
        <v>596</v>
      </c>
      <c r="C72" s="416" t="s">
        <v>923</v>
      </c>
      <c r="D72" s="417"/>
      <c r="G72" s="410" t="s">
        <v>920</v>
      </c>
      <c r="H72" s="411" t="e">
        <f aca="true">OFFSET(CRONO!$T$61,0,CRONOPLE!H67)</f>
        <v>#DIV/0!</v>
      </c>
      <c r="I72" s="411"/>
      <c r="J72" s="418" t="e">
        <f aca="true">OFFSET(CRONO!$T$61,0,CRONOPLE!J67)</f>
        <v>#DIV/0!</v>
      </c>
      <c r="K72" s="418"/>
      <c r="L72" s="418" t="e">
        <f aca="true">OFFSET(CRONO!$T$61,0,CRONOPLE!L67)</f>
        <v>#DIV/0!</v>
      </c>
      <c r="M72" s="418"/>
      <c r="N72" s="418" t="e">
        <f aca="true">OFFSET(CRONO!$T$61,0,CRONOPLE!N67)</f>
        <v>#DIV/0!</v>
      </c>
      <c r="O72" s="418"/>
      <c r="P72" s="418" t="e">
        <f aca="true">OFFSET(CRONO!$T$61,0,CRONOPLE!P67)</f>
        <v>#DIV/0!</v>
      </c>
      <c r="Q72" s="418"/>
      <c r="R72" s="418" t="e">
        <f aca="true">OFFSET(CRONO!$T$61,0,CRONOPLE!R67)</f>
        <v>#DIV/0!</v>
      </c>
      <c r="S72" s="418"/>
      <c r="T72" s="418" t="e">
        <f aca="true">OFFSET(CRONO!$T$61,0,CRONOPLE!T67)</f>
        <v>#DIV/0!</v>
      </c>
      <c r="U72" s="418"/>
      <c r="V72" s="418" t="e">
        <f aca="true">OFFSET(CRONO!$T$61,0,CRONOPLE!V67)</f>
        <v>#DIV/0!</v>
      </c>
      <c r="W72" s="418"/>
      <c r="X72" s="418" t="e">
        <f aca="true">OFFSET(CRONO!$T$61,0,CRONOPLE!X67)</f>
        <v>#DIV/0!</v>
      </c>
      <c r="Y72" s="418"/>
      <c r="Z72" s="418" t="e">
        <f aca="true">OFFSET(CRONO!$T$61,0,CRONOPLE!Z67)</f>
        <v>#DIV/0!</v>
      </c>
      <c r="AA72" s="418"/>
      <c r="AB72" s="418" t="e">
        <f aca="true">OFFSET(CRONO!$T$61,0,CRONOPLE!AB67)</f>
        <v>#DIV/0!</v>
      </c>
      <c r="AC72" s="418"/>
      <c r="AD72" s="418" t="e">
        <f aca="true">OFFSET(CRONO!$T$61,0,CRONOPLE!AD67)</f>
        <v>#DIV/0!</v>
      </c>
      <c r="AE72" s="418"/>
    </row>
    <row r="73" customFormat="false" ht="15" hidden="false" customHeight="true" outlineLevel="0" collapsed="false">
      <c r="A73" s="48" t="s">
        <v>596</v>
      </c>
      <c r="C73" s="419"/>
      <c r="G73" s="420" t="str">
        <f aca="false">IF(COUNTIF(H73:AF73,"%Adm&gt;%Global")&gt;0,"Verificar proporcionalidade da Administração Local","")</f>
        <v/>
      </c>
      <c r="H73" s="421" t="e">
        <f aca="false">IF(H72="","",IF(ROUND(H72,4)&gt;ROUND(H70,4),"%Adm&gt;%Global",""))</f>
        <v>#DIV/0!</v>
      </c>
      <c r="J73" s="421" t="e">
        <f aca="false">IF(J72="","",IF(ROUND(J72,4)&gt;ROUND(J70,4),"%Adm&gt;%Global",""))</f>
        <v>#DIV/0!</v>
      </c>
      <c r="L73" s="421" t="e">
        <f aca="false">IF(L72="","",IF(ROUND(L72,4)&gt;ROUND(L70,4),"%Adm&gt;%Global",""))</f>
        <v>#DIV/0!</v>
      </c>
      <c r="N73" s="421" t="e">
        <f aca="false">IF(N72="","",IF(ROUND(N72,4)&gt;ROUND(N70,4),"%Adm&gt;%Global",""))</f>
        <v>#DIV/0!</v>
      </c>
      <c r="P73" s="421" t="e">
        <f aca="false">IF(P72="","",IF(ROUND(P72,4)&gt;ROUND(P70,4),"%Adm&gt;%Global",""))</f>
        <v>#DIV/0!</v>
      </c>
      <c r="R73" s="421" t="e">
        <f aca="false">IF(R72="","",IF(ROUND(R72,4)&gt;ROUND(R70,4),"%Adm&gt;%Global",""))</f>
        <v>#DIV/0!</v>
      </c>
      <c r="T73" s="421" t="e">
        <f aca="false">IF(T72="","",IF(ROUND(T72,4)&gt;ROUND(T70,4),"%Adm&gt;%Global",""))</f>
        <v>#DIV/0!</v>
      </c>
      <c r="V73" s="421" t="e">
        <f aca="false">IF(V72="","",IF(ROUND(V72,4)&gt;ROUND(V70,4),"%Adm&gt;%Global",""))</f>
        <v>#DIV/0!</v>
      </c>
      <c r="X73" s="421" t="e">
        <f aca="false">IF(X72="","",IF(ROUND(X72,4)&gt;ROUND(X70,4),"%Adm&gt;%Global",""))</f>
        <v>#DIV/0!</v>
      </c>
      <c r="Z73" s="421" t="e">
        <f aca="false">IF(Z72="","",IF(ROUND(Z72,4)&gt;ROUND(Z70,4),"%Adm&gt;%Global",""))</f>
        <v>#DIV/0!</v>
      </c>
      <c r="AB73" s="421" t="e">
        <f aca="false">IF(AB72="","",IF(ROUND(AB72,4)&gt;ROUND(AB70,4),"%Adm&gt;%Global",""))</f>
        <v>#DIV/0!</v>
      </c>
      <c r="AD73" s="421" t="e">
        <f aca="false">IF(AD72="","",IF(ROUND(AD72,4)&gt;ROUND(AD70,4),"%Adm&gt;%Global",""))</f>
        <v>#DIV/0!</v>
      </c>
    </row>
    <row r="74" customFormat="false" ht="12.75" hidden="false" customHeight="false" outlineLevel="0" collapsed="false">
      <c r="A74" s="48" t="s">
        <v>596</v>
      </c>
    </row>
    <row r="75" customFormat="false" ht="13.8" hidden="false" customHeight="false" outlineLevel="0" collapsed="false">
      <c r="A75" s="48" t="s">
        <v>596</v>
      </c>
      <c r="B75" s="258" t="str">
        <f aca="false">Import.Município</f>
        <v>TRAMANDAI/RS</v>
      </c>
      <c r="C75" s="258"/>
      <c r="E75" s="422"/>
      <c r="F75" s="422"/>
      <c r="G75" s="422"/>
      <c r="H75" s="422"/>
      <c r="I75" s="422"/>
      <c r="J75" s="422"/>
      <c r="K75" s="422"/>
      <c r="L75" s="422"/>
      <c r="V75" s="259"/>
      <c r="W75" s="46"/>
      <c r="X75" s="46"/>
      <c r="Y75" s="46"/>
      <c r="Z75" s="46"/>
      <c r="AA75" s="46"/>
      <c r="AB75" s="46"/>
      <c r="AC75" s="46"/>
      <c r="AD75" s="46"/>
      <c r="AE75" s="46"/>
    </row>
    <row r="76" customFormat="false" ht="12.75" hidden="false" customHeight="false" outlineLevel="0" collapsed="false">
      <c r="A76" s="48" t="s">
        <v>596</v>
      </c>
      <c r="B76" s="52" t="s">
        <v>755</v>
      </c>
      <c r="F76" s="423"/>
      <c r="G76" s="423"/>
      <c r="H76" s="423"/>
      <c r="I76" s="423"/>
      <c r="J76" s="423"/>
      <c r="K76" s="423"/>
      <c r="L76" s="424"/>
      <c r="V76" s="260" t="s">
        <v>758</v>
      </c>
    </row>
    <row r="77" customFormat="false" ht="12.75" hidden="false" customHeight="false" outlineLevel="0" collapsed="false">
      <c r="A77" s="48" t="s">
        <v>596</v>
      </c>
      <c r="F77" s="423"/>
      <c r="G77" s="423"/>
      <c r="H77" s="423"/>
      <c r="I77" s="423"/>
      <c r="J77" s="423"/>
      <c r="K77" s="423"/>
      <c r="L77" s="424"/>
      <c r="V77" s="305" t="str">
        <f aca="true" t="array" ref="V77:V79">OFFSET(Import.RespOrçamento,0,-1) &amp; " " &amp; Import.RespOrçamento</f>
        <v>Nome: Jaqueline Ferreira / Marcio R. Maciel</v>
      </c>
    </row>
    <row r="78" customFormat="false" ht="13.8" hidden="false" customHeight="false" outlineLevel="0" collapsed="false">
      <c r="A78" s="48" t="s">
        <v>596</v>
      </c>
      <c r="B78" s="425" t="n">
        <f aca="false">DADOS!$C$25</f>
        <v>46098</v>
      </c>
      <c r="C78" s="425"/>
      <c r="F78" s="423"/>
      <c r="G78" s="423"/>
      <c r="H78" s="423"/>
      <c r="I78" s="423"/>
      <c r="J78" s="423"/>
      <c r="K78" s="423"/>
      <c r="L78" s="424"/>
      <c r="V78" s="305" t="str">
        <v>CREA/CAU:  CAU A152414-3  / CREA RS236197</v>
      </c>
    </row>
    <row r="79" customFormat="false" ht="12.75" hidden="false" customHeight="false" outlineLevel="0" collapsed="false">
      <c r="A79" s="48" t="s">
        <v>596</v>
      </c>
      <c r="B79" s="52" t="s">
        <v>756</v>
      </c>
      <c r="F79" s="423"/>
      <c r="G79" s="423"/>
      <c r="H79" s="423"/>
      <c r="I79" s="423"/>
      <c r="J79" s="423"/>
      <c r="K79" s="423"/>
      <c r="L79" s="424"/>
      <c r="V79" s="305" t="str">
        <v>ART/RRT: </v>
      </c>
    </row>
  </sheetData>
  <sheetProtection algorithmName="SHA-512" hashValue="SRZT1dxvYpL0RcZtbYYPJuIgX2G7/o8mrRxuHfgcmwDDXNbsTN1Ah4GeXL656gafhWRmMQcAJbRQeiMhh9JZEw==" saltValue="P1Sf0VlUx88j752lijjuDw==" spinCount="100000" sheet="true" objects="true" scenarios="true" autoFilter="false"/>
  <autoFilter ref="A13:A79"/>
  <mergeCells count="86">
    <mergeCell ref="AC2:AE2"/>
    <mergeCell ref="B4:D4"/>
    <mergeCell ref="G4:I4"/>
    <mergeCell ref="J4:L4"/>
    <mergeCell ref="B5:D5"/>
    <mergeCell ref="G5:I5"/>
    <mergeCell ref="J5:L5"/>
    <mergeCell ref="M5:AE5"/>
    <mergeCell ref="B8:C8"/>
    <mergeCell ref="B12:B13"/>
    <mergeCell ref="C12:C13"/>
    <mergeCell ref="H67:I67"/>
    <mergeCell ref="J67:K67"/>
    <mergeCell ref="L67:M67"/>
    <mergeCell ref="N67:O67"/>
    <mergeCell ref="P67:Q67"/>
    <mergeCell ref="R67:S67"/>
    <mergeCell ref="T67:U67"/>
    <mergeCell ref="V67:W67"/>
    <mergeCell ref="X67:Y67"/>
    <mergeCell ref="Z67:AA67"/>
    <mergeCell ref="AB67:AC67"/>
    <mergeCell ref="AD67:AE67"/>
    <mergeCell ref="C68:C69"/>
    <mergeCell ref="H68:I68"/>
    <mergeCell ref="J68:K68"/>
    <mergeCell ref="L68:M68"/>
    <mergeCell ref="N68:O68"/>
    <mergeCell ref="P68:Q68"/>
    <mergeCell ref="R68:S68"/>
    <mergeCell ref="T68:U68"/>
    <mergeCell ref="V68:W68"/>
    <mergeCell ref="X68:Y68"/>
    <mergeCell ref="Z68:AA68"/>
    <mergeCell ref="AB68:AC68"/>
    <mergeCell ref="AD68:AE68"/>
    <mergeCell ref="H69:I69"/>
    <mergeCell ref="J69:K69"/>
    <mergeCell ref="L69:M69"/>
    <mergeCell ref="N69:O69"/>
    <mergeCell ref="P69:Q69"/>
    <mergeCell ref="R69:S69"/>
    <mergeCell ref="T69:U69"/>
    <mergeCell ref="V69:W69"/>
    <mergeCell ref="X69:Y69"/>
    <mergeCell ref="Z69:AA69"/>
    <mergeCell ref="AB69:AC69"/>
    <mergeCell ref="AD69:AE69"/>
    <mergeCell ref="C70:C71"/>
    <mergeCell ref="H70:I70"/>
    <mergeCell ref="J70:K70"/>
    <mergeCell ref="L70:M70"/>
    <mergeCell ref="N70:O70"/>
    <mergeCell ref="P70:Q70"/>
    <mergeCell ref="R70:S70"/>
    <mergeCell ref="T70:U70"/>
    <mergeCell ref="V70:W70"/>
    <mergeCell ref="X70:Y70"/>
    <mergeCell ref="Z70:AA70"/>
    <mergeCell ref="AB70:AC70"/>
    <mergeCell ref="AD70:AE70"/>
    <mergeCell ref="H71:I71"/>
    <mergeCell ref="J71:K71"/>
    <mergeCell ref="L71:M71"/>
    <mergeCell ref="N71:O71"/>
    <mergeCell ref="P71:Q71"/>
    <mergeCell ref="R71:S71"/>
    <mergeCell ref="T71:U71"/>
    <mergeCell ref="V71:W71"/>
    <mergeCell ref="X71:Y71"/>
    <mergeCell ref="Z71:AA71"/>
    <mergeCell ref="AB71:AC71"/>
    <mergeCell ref="AD71:AE71"/>
    <mergeCell ref="H72:I72"/>
    <mergeCell ref="J72:K72"/>
    <mergeCell ref="L72:M72"/>
    <mergeCell ref="N72:O72"/>
    <mergeCell ref="P72:Q72"/>
    <mergeCell ref="R72:S72"/>
    <mergeCell ref="T72:U72"/>
    <mergeCell ref="V72:W72"/>
    <mergeCell ref="X72:Y72"/>
    <mergeCell ref="Z72:AA72"/>
    <mergeCell ref="AB72:AC72"/>
    <mergeCell ref="AD72:AE72"/>
    <mergeCell ref="B78:C78"/>
  </mergeCells>
  <conditionalFormatting sqref="E61:E64 G61:AE64">
    <cfRule type="expression" priority="2" aboveAverage="0" equalAverage="0" bottom="0" percent="0" rank="0" text="" dxfId="306">
      <formula>IF(OR(E$12&gt;CÁLCULO.NúmeroDeFrentes,ACOMPANHAMENTO="BM"),1,CRONOPLE.ValorDoEvento=0)</formula>
    </cfRule>
  </conditionalFormatting>
  <conditionalFormatting sqref="E52:E60 G52:AE60">
    <cfRule type="expression" priority="3" aboveAverage="0" equalAverage="0" bottom="0" percent="0" rank="0" text="" dxfId="307">
      <formula>IF(OR(E$12&gt;CÁLCULO.NúmeroDeFrentes,ACOMPANHAMENTO="BM"),1,CRONOPLE.ValorDoEvento=0)</formula>
    </cfRule>
  </conditionalFormatting>
  <conditionalFormatting sqref="E43:E51 G43:AE51">
    <cfRule type="expression" priority="4" aboveAverage="0" equalAverage="0" bottom="0" percent="0" rank="0" text="" dxfId="308">
      <formula>IF(OR(E$12&gt;CÁLCULO.NúmeroDeFrentes,ACOMPANHAMENTO="BM"),1,CRONOPLE.ValorDoEvento=0)</formula>
    </cfRule>
  </conditionalFormatting>
  <conditionalFormatting sqref="E34:E42 G34:AE42">
    <cfRule type="expression" priority="5" aboveAverage="0" equalAverage="0" bottom="0" percent="0" rank="0" text="" dxfId="309">
      <formula>IF(OR(E$12&gt;CÁLCULO.NúmeroDeFrentes,ACOMPANHAMENTO="BM"),1,CRONOPLE.ValorDoEvento=0)</formula>
    </cfRule>
  </conditionalFormatting>
  <conditionalFormatting sqref="E25:E33 G25:AE33">
    <cfRule type="expression" priority="6" aboveAverage="0" equalAverage="0" bottom="0" percent="0" rank="0" text="" dxfId="310">
      <formula>IF(OR(E$12&gt;CÁLCULO.NúmeroDeFrentes,ACOMPANHAMENTO="BM"),1,CRONOPLE.ValorDoEvento=0)</formula>
    </cfRule>
  </conditionalFormatting>
  <conditionalFormatting sqref="E16:E24 G16:AE24">
    <cfRule type="expression" priority="7" aboveAverage="0" equalAverage="0" bottom="0" percent="0" rank="0" text="" dxfId="311">
      <formula>IF(OR(E$12&gt;CÁLCULO.NúmeroDeFrentes,ACOMPANHAMENTO="BM"),1,CRONOPLE.ValorDoEvento=0)</formula>
    </cfRule>
  </conditionalFormatting>
  <conditionalFormatting sqref="H72:AE72">
    <cfRule type="expression" priority="8" aboveAverage="0" equalAverage="0" bottom="0" percent="0" rank="0" text="" dxfId="312">
      <formula>ROUND(H72,4)&gt;ROUND(H70,4)</formula>
    </cfRule>
  </conditionalFormatting>
  <conditionalFormatting sqref="J72:AE72">
    <cfRule type="expression" priority="9" aboveAverage="0" equalAverage="0" bottom="0" percent="0" rank="0" text="" dxfId="313">
      <formula>OFFSET(J72,-2,-2)=1</formula>
    </cfRule>
  </conditionalFormatting>
  <conditionalFormatting sqref="B8:C8">
    <cfRule type="expression" priority="10" aboveAverage="0" equalAverage="0" bottom="0" percent="0" rank="0" text="" dxfId="314">
      <formula>$B$7=""</formula>
    </cfRule>
  </conditionalFormatting>
  <conditionalFormatting sqref="B15:C15 E15 G15:AF15">
    <cfRule type="expression" priority="11" aboveAverage="0" equalAverage="0" bottom="0" percent="0" rank="0" text="" dxfId="315">
      <formula>$B$15=0</formula>
    </cfRule>
  </conditionalFormatting>
  <conditionalFormatting sqref="J71:AE71">
    <cfRule type="expression" priority="12" aboveAverage="0" equalAverage="0" bottom="0" percent="0" rank="0" text="" dxfId="316">
      <formula>OFFSET(J71,-1,-2)=1</formula>
    </cfRule>
  </conditionalFormatting>
  <conditionalFormatting sqref="J70:AE70">
    <cfRule type="expression" priority="13" aboveAverage="0" equalAverage="0" bottom="0" percent="0" rank="0" text="" dxfId="317">
      <formula>OFFSET(J70,0,-2)=1</formula>
    </cfRule>
  </conditionalFormatting>
  <conditionalFormatting sqref="J69:AE69">
    <cfRule type="expression" priority="14" aboveAverage="0" equalAverage="0" bottom="0" percent="0" rank="0" text="" dxfId="318">
      <formula>OFFSET(J69,1,-2)=1</formula>
    </cfRule>
  </conditionalFormatting>
  <conditionalFormatting sqref="J68:AE68">
    <cfRule type="expression" priority="15" aboveAverage="0" equalAverage="0" bottom="0" percent="0" rank="0" text="" dxfId="319">
      <formula>OFFSET(J68,2,-2)=1</formula>
    </cfRule>
  </conditionalFormatting>
  <conditionalFormatting sqref="J67:AE67">
    <cfRule type="expression" priority="16" aboveAverage="0" equalAverage="0" bottom="0" percent="0" rank="0" text="" dxfId="320">
      <formula>OFFSET(J67,3,-2)=1</formula>
    </cfRule>
  </conditionalFormatting>
  <conditionalFormatting sqref="U4:Y4">
    <cfRule type="expression" priority="17" aboveAverage="0" equalAverage="0" bottom="0" percent="0" rank="0" text="" dxfId="321">
      <formula>QCI.ExisteManual</formula>
    </cfRule>
  </conditionalFormatting>
  <conditionalFormatting sqref="E1 G1:AE1">
    <cfRule type="expression" priority="18" aboveAverage="0" equalAverage="0" bottom="0" percent="0" rank="0" text="" dxfId="322">
      <formula>IF(OR(E$12&gt;CÁLCULO.NúmeroDeFrentes,ACOMPANHAMENTO="BM"),1,CRONOPLE.ValorDoEvento=0)</formula>
    </cfRule>
  </conditionalFormatting>
  <dataValidations count="2">
    <dataValidation allowBlank="true" errorStyle="stop" operator="greaterThan" showDropDown="false" showErrorMessage="true" showInputMessage="false" sqref="E1:E8 G1:AE1 H2:AB2 JA2:JA6 JD2:JX2 SW2:SW6 SZ2:TT2 ACS2:ACS6 ACV2:ADP2 AMO2:AMO6 AMR2:ANL2 AWK2:AWK6 AWN2:AXH2 BGG2:BGG6 BGJ2:BHD2 BQC2:BQC6 BQF2:BQZ2 BZY2:BZY6 CAB2:CAV2 CJU2:CJU6 CJX2:CKR2 CTQ2:CTQ6 CTT2:CUN2 DDM2:DDM6 DDP2:DEJ2 DNI2:DNI6 DNL2:DOF2 DXE2:DXE6 DXH2:DYB2 EHA2:EHA6 EHD2:EHX2 EQW2:EQW6 EQZ2:ERT2 FAS2:FAS6 FAV2:FBP2 FKO2:FKO6 FKR2:FLL2 FUK2:FUK6 FUN2:FVH2 GEG2:GEG6 GEJ2:GFD2 GOC2:GOC6 GOF2:GOZ2 GXY2:GXY6 GYB2:GYV2 HHU2:HHU6 HHX2:HIR2 HRQ2:HRQ6 HRT2:HSN2 IBM2:IBM6 IBP2:ICJ2 ILI2:ILI6 ILL2:IMF2 IVE2:IVE6 IVH2:IWB2 JFA2:JFA6 JFD2:JFX2 JOW2:JOW6 JOZ2:JPT2 JYS2:JYS6 JYV2:JZP2 KIO2:KIO6 KIR2:KJL2 KSK2:KSK6 KSN2:KTH2 LCG2:LCG6 LCJ2:LDD2 LMC2:LMC6 LMF2:LMZ2 LVY2:LVY6 LWB2:LWV2 MFU2:MFU6 MFX2:MGR2 MPQ2:MPQ6 MPT2:MQN2 MZM2:MZM6 MZP2:NAJ2 NJI2:NJI6 NJL2:NKF2 NTE2:NTE6 NTH2:NUB2 ODA2:ODA6 ODD2:ODX2 OMW2:OMW6 OMZ2:ONT2 OWS2:OWS6 OWV2:OXP2 PGO2:PGO6 PGR2:PHL2 PQK2:PQK6 PQN2:PRH2 QAG2:QAG6 QAJ2:QBD2 QKC2:QKC6 QKF2:QKZ2 QTY2:QTY6 QUB2:QUV2 RDU2:RDU6 RDX2:RER2 RNQ2:RNQ6 RNT2:RON2 RXM2:RXM6 RXP2:RYJ2 SHI2:SHI6 SHL2:SIF2 SRE2:SRE6 SRH2:SSB2 TBA2:TBA6 TBD2:TBX2 TKW2:TKW6 TKZ2:TLT2 TUS2:TUS6 TUV2:TVP2 UEO2:UEO6 UER2:UFL2 UOK2:UOK6 UON2:UPH2 UYG2:UYG6 UYJ2:UZD2 VIC2:VIC6 VIF2:VIZ2 VRY2:VRY6 VSB2:VSV2 WBU2:WBU6 WBX2:WCR2 WLQ2:WLQ6 WLT2:WMN2 WVM2:WVM6 WVP2:WWJ2 G3:AC3 JC3:JY3 SY3:TU3 ACU3:ADQ3 AMQ3:ANM3 AWM3:AXI3 BGI3:BHE3 BQE3:BRA3 CAA3:CAW3 CJW3:CKS3 CTS3:CUO3 DDO3:DEK3 DNK3:DOG3 DXG3:DYC3 EHC3:EHY3 EQY3:ERU3 FAU3:FBQ3 FKQ3:FLM3 FUM3:FVI3 GEI3:GFE3 GOE3:GPA3 GYA3:GYW3 HHW3:HIS3 HRS3:HSO3 IBO3:ICK3 ILK3:IMG3 IVG3:IWC3 JFC3:JFY3 JOY3:JPU3 JYU3:JZQ3 KIQ3:KJM3 KSM3:KTI3 LCI3:LDE3 LME3:LNA3 LWA3:LWW3 MFW3:MGS3 MPS3:MQO3 MZO3:NAK3 NJK3:NKG3 NTG3:NUC3 ODC3:ODY3 OMY3:ONU3 OWU3:OXQ3 PGQ3:PHM3 PQM3:PRI3 QAI3:QBE3 QKE3:QLA3 QUA3:QUW3 RDW3:RES3 RNS3:ROO3 RXO3:RYK3 SHK3:SIG3 SRG3:SSC3 TBC3:TBY3 TKY3:TLU3 TUU3:TVQ3 UEQ3:UFM3 UOM3:UPI3 UYI3:UZE3 VIE3:VJA3 VSA3:VSW3 WBW3:WCS3 WLS3:WMO3 WVO3:WWK3 S4:T4 Z4:AC4 JO4:JP4 JX4:JY4 TK4:TL4 TT4:TU4 ADG4:ADH4 ADP4:ADQ4 ANC4:AND4 ANL4:ANM4 AWY4:AWZ4 AXH4:AXI4 BGU4:BGV4 BHD4:BHE4 BQQ4:BQR4 BQZ4:BRA4 CAM4:CAN4 CAV4:CAW4 CKI4:CKJ4 CKR4:CKS4 CUE4:CUF4 CUN4:CUO4 DEA4:DEB4 DEJ4:DEK4 DNW4:DNX4 DOF4:DOG4 DXS4:DXT4 DYB4:DYC4 EHO4:EHP4 EHX4:EHY4 ERK4:ERL4 ERT4:ERU4 FBG4:FBH4 FBP4:FBQ4 FLC4:FLD4 FLL4:FLM4 FUY4:FUZ4 FVH4:FVI4 GEU4:GEV4 GFD4:GFE4 GOQ4:GOR4 GOZ4:GPA4 GYM4:GYN4 GYV4:GYW4 HII4:HIJ4 HIR4:HIS4 HSE4:HSF4 HSN4:HSO4 ICA4:ICB4 ICJ4:ICK4 ILW4:ILX4 IMF4:IMG4 IVS4:IVT4 IWB4:IWC4 JFO4:JFP4 JFX4:JFY4 JPK4:JPL4 JPT4:JPU4 JZG4:JZH4 JZP4:JZQ4 KJC4:KJD4 KJL4:KJM4 KSY4:KSZ4 KTH4:KTI4 LCU4:LCV4 LDD4:LDE4 LMQ4:LMR4 LMZ4:LNA4 LWM4:LWN4 LWV4:LWW4 MGI4:MGJ4 MGR4:MGS4 MQE4:MQF4 MQN4:MQO4 NAA4:NAB4 NAJ4:NAK4 NJW4:NJX4 NKF4:NKG4 NTS4:NTT4 NUB4:NUC4 ODO4:ODP4 ODX4:ODY4 ONK4:ONL4 ONT4:ONU4 OXG4:OXH4 OXP4:OXQ4 PHC4:PHD4 PHL4:PHM4 PQY4:PQZ4 PRH4:PRI4 QAU4:QAV4 QBD4:QBE4 QKQ4:QKR4 QKZ4:QLA4 QUM4:QUN4 QUV4:QUW4 REI4:REJ4 RER4:RES4 ROE4:ROF4 RON4:ROO4 RYA4:RYB4 RYJ4:RYK4 SHW4:SHX4 SIF4:SIG4 SRS4:SRT4 SSB4:SSC4 TBO4:TBP4 TBX4:TBY4 TLK4:TLL4 TLT4:TLU4 TVG4:TVH4 TVP4:TVQ4 UFC4:UFD4 UFL4:UFM4 UOY4:UOZ4 UPH4:UPI4 UYU4:UYV4 UZD4:UZE4 VIQ4:VIR4 VIZ4:VJA4 VSM4:VSN4 VSV4:VSW4 WCI4:WCJ4 WCR4:WCS4 WME4:WMF4 WMN4:WMO4 WWA4:WWB4 WWJ4:WWK4 G6:AE8 E16:E64 G16:AE64" type="whole">
      <formula1>0</formula1>
      <formula2>0</formula2>
    </dataValidation>
    <dataValidation allowBlank="true" error="Selecione uma opção da lista." errorStyle="stop" errorTitle="Atenção" operator="between" prompt="Selecione uma opção da lista." showDropDown="false" showErrorMessage="true" showInputMessage="true" sqref="B8:C8" type="list">
      <formula1>CRONOPLE.Lista.AdmLocal</formula1>
      <formula2>0</formula2>
    </dataValidation>
  </dataValidations>
  <printOptions headings="false" gridLines="false" gridLinesSet="true" horizontalCentered="false" verticalCentered="false"/>
  <pageMargins left="0.7875" right="0.7875" top="0.786805555555556" bottom="0.786805555555556" header="0.590277777777778" footer="0.590277777777778"/>
  <pageSetup paperSize="9" scale="100" fitToWidth="1" fitToHeight="1" pageOrder="downThenOver" orientation="landscape" blackAndWhite="false" draft="false" cellComments="none" horizontalDpi="300" verticalDpi="300" copies="1"/>
  <headerFooter differentFirst="false" differentOddEven="false">
    <oddHeader>&amp;L_&amp;C&amp;14I</oddHeader>
    <oddFooter>&amp;LPMv3.16&amp;R&amp;P / &amp;N</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AG67"/>
  <sheetViews>
    <sheetView showFormulas="false" showGridLines="false" showRowColHeaders="true" showZeros="true" rightToLeft="false" tabSelected="false" showOutlineSymbols="true" defaultGridColor="true" view="pageBreakPreview" topLeftCell="A1" colorId="64" zoomScale="90" zoomScaleNormal="90" zoomScalePageLayoutView="90" workbookViewId="0">
      <pane xSplit="20" ySplit="13" topLeftCell="U14" activePane="bottomRight" state="frozen"/>
      <selection pane="topLeft" activeCell="A1" activeCellId="0" sqref="A1"/>
      <selection pane="topRight" activeCell="U1" activeCellId="0" sqref="U1"/>
      <selection pane="bottomLeft" activeCell="A14" activeCellId="0" sqref="A14"/>
      <selection pane="bottomRight" activeCell="A1" activeCellId="0" sqref="A1"/>
    </sheetView>
  </sheetViews>
  <sheetFormatPr defaultColWidth="9.1484375" defaultRowHeight="12.75" customHeight="false" zeroHeight="false" outlineLevelRow="0" outlineLevelCol="0"/>
  <cols>
    <col collapsed="false" customWidth="false" hidden="true" outlineLevel="0" max="1" min="1" style="384" width="9.14"/>
    <col collapsed="false" customWidth="false" hidden="true" outlineLevel="0" max="4" min="2" style="423" width="9.14"/>
    <col collapsed="false" customWidth="true" hidden="true" outlineLevel="0" max="5" min="5" style="384" width="11"/>
    <col collapsed="false" customWidth="true" hidden="true" outlineLevel="0" max="6" min="6" style="423" width="19"/>
    <col collapsed="false" customWidth="true" hidden="false" outlineLevel="0" max="7" min="7" style="384" width="3.57"/>
    <col collapsed="false" customWidth="true" hidden="false" outlineLevel="0" max="8" min="8" style="423" width="12.57"/>
    <col collapsed="false" customWidth="true" hidden="false" outlineLevel="0" max="9" min="9" style="384" width="7.15"/>
    <col collapsed="false" customWidth="true" hidden="false" outlineLevel="0" max="10" min="10" style="384" width="11.57"/>
    <col collapsed="false" customWidth="true" hidden="false" outlineLevel="0" max="11" min="11" style="384" width="12"/>
    <col collapsed="false" customWidth="true" hidden="false" outlineLevel="0" max="12" min="12" style="384" width="11"/>
    <col collapsed="false" customWidth="false" hidden="true" outlineLevel="0" max="18" min="13" style="423" width="9.14"/>
    <col collapsed="false" customWidth="true" hidden="false" outlineLevel="0" max="19" min="19" style="424" width="11.43"/>
    <col collapsed="false" customWidth="true" hidden="false" outlineLevel="0" max="20" min="20" style="424" width="9.57"/>
    <col collapsed="false" customWidth="true" hidden="false" outlineLevel="0" max="32" min="21" style="384" width="11"/>
    <col collapsed="false" customWidth="true" hidden="true" outlineLevel="0" max="33" min="33" style="384" width="5.57"/>
    <col collapsed="false" customWidth="false" hidden="false" outlineLevel="0" max="16384" min="34" style="384" width="9.14"/>
  </cols>
  <sheetData>
    <row r="1" customFormat="false" ht="12.75" hidden="true" customHeight="false" outlineLevel="0" collapsed="false">
      <c r="A1" s="384" t="e">
        <f aca="false">IF($M1&gt;1,_xlfn.CONCAT($I1," ",$J1),"")</f>
        <v>#VALUE!</v>
      </c>
      <c r="B1" s="423" t="e">
        <f aca="true">OFFSET(B1,-3,0)+1</f>
        <v>#VALUE!</v>
      </c>
      <c r="C1" s="423" t="e">
        <f aca="true">IF($R1&lt;&gt;2,0,IF($S1=0,1,IF(F2&gt;0,OFFSET(QCI!$M$13,SUBSTITUTE(F2,".",""),0),OFFSET(ORÇAMENTO!$AA$15,CRONO!$F1,0))/$S1))</f>
        <v>#VALUE!</v>
      </c>
      <c r="D1" s="423" t="e">
        <f aca="true">IF($R1&lt;&gt;2,0,IF($S1=0,1,IF(F2&gt;0,OFFSET(QCI!$N$13,SUBSTITUTE(F2,".",""),0),OFFSET(ORÇAMENTO!$AB$15,CRONO!$F1,0))/$S1))</f>
        <v>#VALUE!</v>
      </c>
      <c r="E1" s="426" t="e">
        <f aca="false" t="array" ref="E1:E1">IF(AND($R1=2,ACOMPANHAMENTO="BM"),ROUND(E2,4),E3/$S1)</f>
        <v>#VALUE!</v>
      </c>
      <c r="F1" s="423" t="e">
        <f aca="true" t="array" ref="F1:F1">IF(B1&lt;=ORÇAMENTO.MáximoListaCrono,MATCH(B1,ORÇAMENTO.ListaCrono,0),NA())</f>
        <v>#VALUE!</v>
      </c>
      <c r="G1" s="423" t="e">
        <f aca="false">IF(AND($F2&lt;&gt;-1,$S1&gt;0),"F","")</f>
        <v>#VALUE!</v>
      </c>
      <c r="H1" s="427" t="e">
        <f aca="false" t="array" ref="H1:H1">IF(OR(S1=0,S1=""),"Linha",IF(AND(OR(ACOMPANHAMENTO="PLE",$R1&lt;&gt;2),$F2=0),"Linha",ROUND(1-SUM(U1:AG1),4)))</f>
        <v>#VALUE!</v>
      </c>
      <c r="I1" s="428" t="e">
        <f aca="true">IF($F2=0,OFFSET(ORÇAMENTO!O$15,$F1,0),IF($F2&lt;&gt;-1,OFFSET(QCI!$D$13,$F2,0),""))</f>
        <v>#VALUE!</v>
      </c>
      <c r="J1" s="429" t="e">
        <f aca="true">IF($F2=0,OFFSET(ORÇAMENTO!R$15,$F1,0),IF($F2&lt;&gt;-1,OFFSET(QCI!$G$13,$F2,0),""))</f>
        <v>#VALUE!</v>
      </c>
      <c r="K1" s="429"/>
      <c r="L1" s="429"/>
      <c r="M1" s="430" t="e">
        <f aca="true">IF($F2=0,OFFSET(ORÇAMENTO!C$15,$F1,0),1)</f>
        <v>#VALUE!</v>
      </c>
      <c r="N1" s="431" t="e">
        <f aca="true">IF($F2=-1,0,IF(N$13&lt;=$M1,IF(ISERROR(MATCH(N$13,OFFSET($M1,1,0,ROW($M$50)-ROW($M1)-1),0)),ROW($M$50)-ROW($M1)-1,MATCH(N$13,OFFSET($M1,1,0,ROW($M$50)-ROW($M1)-1),0)-1),0))</f>
        <v>#VALUE!</v>
      </c>
      <c r="O1" s="431" t="e">
        <f aca="true">IF($F2=-1,0,IF(O$13&lt;=$M1,IF(ISERROR(MATCH(O$13,OFFSET($M1,1,0,ROW($M$50)-ROW($M1)-1),0)),ROW($M$50)-ROW($M1)-1,MATCH(O$13,OFFSET($M1,1,0,ROW($M$50)-ROW($M1)-1),0)-1),0))</f>
        <v>#VALUE!</v>
      </c>
      <c r="P1" s="431" t="e">
        <f aca="true">IF($F2=-1,0,IF(P$13&lt;=$M1,IF(ISERROR(MATCH(P$13,OFFSET($M1,1,0,ROW($M$50)-ROW($M1)-1),0)),ROW($M$50)-ROW($M1)-1,MATCH(P$13,OFFSET($M1,1,0,ROW($M$50)-ROW($M1)-1),0)-1),0))</f>
        <v>#VALUE!</v>
      </c>
      <c r="Q1" s="431" t="e">
        <f aca="true">IF($F2=-1,0,IF(Q$13&lt;=$M1,IF(ISERROR(MATCH(Q$13,OFFSET($M1,1,0,ROW($M$50)-ROW($M1)-1),0)),ROW($M$50)-ROW($M1)-1,MATCH(Q$13,OFFSET($M1,1,0,ROW($M$50)-ROW($M1)-1),0)-1),0))</f>
        <v>#VALUE!</v>
      </c>
      <c r="R1" s="431" t="e">
        <f aca="true">MIN(OFFSET(M1,0,1,,M1))</f>
        <v>#VALUE!</v>
      </c>
      <c r="S1" s="432" t="e">
        <f aca="true">IF($F2=0,OFFSET(ORÇAMENTO!X$15,$F1,0),IF($F2&lt;&gt;-1,OFFSET(QCI!$O$13,$F2,0),""))</f>
        <v>#VALUE!</v>
      </c>
      <c r="T1" s="433" t="s">
        <v>924</v>
      </c>
      <c r="U1" s="426" t="e">
        <f aca="false" t="array" ref="U1:U1">IF(AND($R1=2,ACOMPANHAMENTO="BM"),ROUND(U2,4),U3/$S1)</f>
        <v>#VALUE!</v>
      </c>
      <c r="V1" s="426" t="e">
        <f aca="false" t="array" ref="V1:V1">IF(AND($R1=2,ACOMPANHAMENTO="BM"),ROUND(V2,4),V3/$S1)</f>
        <v>#VALUE!</v>
      </c>
      <c r="W1" s="426" t="e">
        <f aca="false" t="array" ref="W1:W1">IF(AND($R1=2,ACOMPANHAMENTO="BM"),ROUND(W2,4),W3/$S1)</f>
        <v>#VALUE!</v>
      </c>
      <c r="X1" s="426" t="e">
        <f aca="false" t="array" ref="X1:X1">IF(AND($R1=2,ACOMPANHAMENTO="BM"),ROUND(X2,4),X3/$S1)</f>
        <v>#VALUE!</v>
      </c>
      <c r="Y1" s="426" t="e">
        <f aca="false" t="array" ref="Y1:Y1">IF(AND($R1=2,ACOMPANHAMENTO="BM"),ROUND(Y2,4),Y3/$S1)</f>
        <v>#VALUE!</v>
      </c>
      <c r="Z1" s="426" t="e">
        <f aca="false" t="array" ref="Z1:Z1">IF(AND($R1=2,ACOMPANHAMENTO="BM"),ROUND(Z2,4),Z3/$S1)</f>
        <v>#VALUE!</v>
      </c>
      <c r="AA1" s="426" t="e">
        <f aca="false" t="array" ref="AA1:AA1">IF(AND($R1=2,ACOMPANHAMENTO="BM"),ROUND(AA2,4),AA3/$S1)</f>
        <v>#VALUE!</v>
      </c>
      <c r="AB1" s="426" t="e">
        <f aca="false" t="array" ref="AB1:AB1">IF(AND($R1=2,ACOMPANHAMENTO="BM"),ROUND(AB2,4),AB3/$S1)</f>
        <v>#VALUE!</v>
      </c>
      <c r="AC1" s="426" t="e">
        <f aca="false" t="array" ref="AC1:AC1">IF(AND($R1=2,ACOMPANHAMENTO="BM"),ROUND(AC2,4),AC3/$S1)</f>
        <v>#VALUE!</v>
      </c>
      <c r="AD1" s="426" t="e">
        <f aca="false" t="array" ref="AD1:AD1">IF(AND($R1=2,ACOMPANHAMENTO="BM"),ROUND(AD2,4),AD3/$S1)</f>
        <v>#VALUE!</v>
      </c>
      <c r="AE1" s="426" t="e">
        <f aca="false" t="array" ref="AE1:AE1">IF(AND($R1=2,ACOMPANHAMENTO="BM"),ROUND(AE2,4),AE3/$S1)</f>
        <v>#VALUE!</v>
      </c>
      <c r="AF1" s="426" t="e">
        <f aca="false" t="array" ref="AF1:AF1">IF(AND($R1=2,ACOMPANHAMENTO="BM"),ROUND(AF2,4),AF3/$S1)</f>
        <v>#VALUE!</v>
      </c>
      <c r="AG1" s="434"/>
    </row>
    <row r="2" customFormat="false" ht="12.75" hidden="true" customHeight="true" outlineLevel="0" collapsed="false">
      <c r="E2" s="435"/>
      <c r="F2" s="423" t="e">
        <f aca="true">IF(ISERROR(F1),IF(1+COUNTIF($M$13:OFFSET(M1,-1,0),1)&lt;=MAX(QCI!$D$13:$D$24),1+COUNTIF($M$13:OFFSET(M1,-1,0),1),-1),0)</f>
        <v>#VALUE!</v>
      </c>
      <c r="G2" s="423" t="e">
        <f aca="true" t="array" ref="G2:G2">IF(ACOMPANHAMENTO="BM",OFFSET(G2,-1,0),"")</f>
        <v>#VALUE!</v>
      </c>
      <c r="H2" s="436" t="e">
        <f aca="false" t="array" ref="H2:H2">IF(OR(S1=0,S1=""),"vazia",IF(AND(OR(ACOMPANHAMENTO="PLE",$R1&lt;&gt;2),$F2=0),"calculada","--&gt;"))</f>
        <v>#VALUE!</v>
      </c>
      <c r="I2" s="437"/>
      <c r="J2" s="438" t="e">
        <f aca="false">IF(AND(H1&lt;&gt;0,ISNUMBER(H1)),"PREENCHA ESTA LINHA --&gt;","")</f>
        <v>#VALUE!</v>
      </c>
      <c r="K2" s="438"/>
      <c r="L2" s="438"/>
      <c r="M2" s="439"/>
      <c r="N2" s="439"/>
      <c r="O2" s="439"/>
      <c r="P2" s="439"/>
      <c r="Q2" s="439"/>
      <c r="R2" s="439"/>
      <c r="S2" s="440"/>
      <c r="T2" s="441"/>
      <c r="U2" s="435"/>
      <c r="V2" s="435"/>
      <c r="W2" s="435"/>
      <c r="X2" s="435"/>
      <c r="Y2" s="435"/>
      <c r="Z2" s="435"/>
      <c r="AA2" s="435"/>
      <c r="AB2" s="435"/>
      <c r="AC2" s="435"/>
      <c r="AD2" s="435"/>
      <c r="AE2" s="435"/>
      <c r="AF2" s="435"/>
      <c r="AG2" s="434"/>
    </row>
    <row r="3" customFormat="false" ht="12.75" hidden="true" customHeight="true" outlineLevel="0" collapsed="false">
      <c r="D3" s="442"/>
      <c r="E3" s="443" t="e">
        <f aca="true" t="array" ref="E3:E3">IF($R1=2,
         IF(AND(ACOMPANHAMENTO="PLE",ISNUMBER($F1)),
                SUMIF((OFFSET(CÁLCULO!$AM$15:$AW$15,$F1,0,OFFSET(ORÇAMENTO!$D$15,CRONO!$F1,0))),CRONO!E$12,OFFSET(CÁLCULO!$AB$15:$AL$15,$F1,0,OFFSET(ORÇAMENTO!$D$15,CRONO!$F1,0)))
                +IF(AND($F3&lt;&gt;"",$F3&lt;&gt;0),
                        SUMIF(CÁLCULO!$AM$15:$AW$59,CRONO!E$12,CÁLCULO!$AB$15:$AL$59)/(ORÇAMENTO!$X$15-CÁLCULO.TotalAdmLocal)*CRONO!$F3,
                        0),
                 E2*$S1),
          SUMIF(OFFSET($S3,1,0,$R1-2),($M1+1)&amp;"$",OFFSET(E3,1,0,$R1-2)))</f>
        <v>#VALUE!</v>
      </c>
      <c r="F3" s="423" t="e">
        <f aca="true">IF(OR($R1&lt;&gt;2,AUTOEVENTO&lt;&gt;"manual",$F2&gt;0),"",
        IF(Import.TipoArredondamento="Tradicional",
              SUMIF(OFFSET(CÁLCULO!$M$15,CRONO!$F1,0,OFFSET(ORÇAMENTO!$D$15,CRONO!$F1,0)),1,OFFSET(ORÇAMENTO!$X$15,CRONO!$F1,0,OFFSET(ORÇAMENTO!$D$15,CRONO!$F1,0))),
              0))</f>
        <v>#VALUE!</v>
      </c>
      <c r="H3" s="444"/>
      <c r="S3" s="445" t="e">
        <f aca="false">M1&amp;"$"</f>
        <v>#VALUE!</v>
      </c>
      <c r="T3" s="446"/>
      <c r="U3" s="443" t="e">
        <f aca="true" t="array" ref="U3:U3">IF($R1=2,
         IF(AND(ACOMPANHAMENTO="PLE",ISNUMBER($F1)),
                SUMIF((OFFSET(CÁLCULO!$AM$15:$AW$15,$F1,0,OFFSET(ORÇAMENTO!$D$15,CRONO!$F1,0))),CRONO!U$12,OFFSET(CÁLCULO!$AB$15:$AL$15,$F1,0,OFFSET(ORÇAMENTO!$D$15,CRONO!$F1,0)))
                +IF(AND($F3&lt;&gt;"",$F3&lt;&gt;0),
                        SUMIF(CÁLCULO!$AM$15:$AW$59,CRONO!U$12,CÁLCULO!$AB$15:$AL$59)/(ORÇAMENTO!$X$15-CÁLCULO.TotalAdmLocal)*CRONO!$F3,
                        0),
                 U2*$S1),
          SUMIF(OFFSET($S3,1,0,$R1-2),($M1+1)&amp;"$",OFFSET(U3,1,0,$R1-2)))</f>
        <v>#VALUE!</v>
      </c>
      <c r="V3" s="443" t="e">
        <f aca="true" t="array" ref="V3:V3">IF($R1=2,
         IF(AND(ACOMPANHAMENTO="PLE",ISNUMBER($F1)),
                SUMIF((OFFSET(CÁLCULO!$AM$15:$AW$15,$F1,0,OFFSET(ORÇAMENTO!$D$15,CRONO!$F1,0))),CRONO!V$12,OFFSET(CÁLCULO!$AB$15:$AL$15,$F1,0,OFFSET(ORÇAMENTO!$D$15,CRONO!$F1,0)))
                +IF(AND($F3&lt;&gt;"",$F3&lt;&gt;0),
                        SUMIF(CÁLCULO!$AM$15:$AW$59,CRONO!V$12,CÁLCULO!$AB$15:$AL$59)/(ORÇAMENTO!$X$15-CÁLCULO.TotalAdmLocal)*CRONO!$F3,
                        0),
                 V2*$S1),
          SUMIF(OFFSET($S3,1,0,$R1-2),($M1+1)&amp;"$",OFFSET(V3,1,0,$R1-2)))</f>
        <v>#VALUE!</v>
      </c>
      <c r="W3" s="443" t="e">
        <f aca="true" t="array" ref="W3:W3">IF($R1=2,
         IF(AND(ACOMPANHAMENTO="PLE",ISNUMBER($F1)),
                SUMIF((OFFSET(CÁLCULO!$AM$15:$AW$15,$F1,0,OFFSET(ORÇAMENTO!$D$15,CRONO!$F1,0))),CRONO!W$12,OFFSET(CÁLCULO!$AB$15:$AL$15,$F1,0,OFFSET(ORÇAMENTO!$D$15,CRONO!$F1,0)))
                +IF(AND($F3&lt;&gt;"",$F3&lt;&gt;0),
                        SUMIF(CÁLCULO!$AM$15:$AW$59,CRONO!W$12,CÁLCULO!$AB$15:$AL$59)/(ORÇAMENTO!$X$15-CÁLCULO.TotalAdmLocal)*CRONO!$F3,
                        0),
                 W2*$S1),
          SUMIF(OFFSET($S3,1,0,$R1-2),($M1+1)&amp;"$",OFFSET(W3,1,0,$R1-2)))</f>
        <v>#VALUE!</v>
      </c>
      <c r="X3" s="443" t="e">
        <f aca="true" t="array" ref="X3:X3">IF($R1=2,
         IF(AND(ACOMPANHAMENTO="PLE",ISNUMBER($F1)),
                SUMIF((OFFSET(CÁLCULO!$AM$15:$AW$15,$F1,0,OFFSET(ORÇAMENTO!$D$15,CRONO!$F1,0))),CRONO!X$12,OFFSET(CÁLCULO!$AB$15:$AL$15,$F1,0,OFFSET(ORÇAMENTO!$D$15,CRONO!$F1,0)))
                +IF(AND($F3&lt;&gt;"",$F3&lt;&gt;0),
                        SUMIF(CÁLCULO!$AM$15:$AW$59,CRONO!X$12,CÁLCULO!$AB$15:$AL$59)/(ORÇAMENTO!$X$15-CÁLCULO.TotalAdmLocal)*CRONO!$F3,
                        0),
                 X2*$S1),
          SUMIF(OFFSET($S3,1,0,$R1-2),($M1+1)&amp;"$",OFFSET(X3,1,0,$R1-2)))</f>
        <v>#VALUE!</v>
      </c>
      <c r="Y3" s="443" t="e">
        <f aca="true" t="array" ref="Y3:Y3">IF($R1=2,
         IF(AND(ACOMPANHAMENTO="PLE",ISNUMBER($F1)),
                SUMIF((OFFSET(CÁLCULO!$AM$15:$AW$15,$F1,0,OFFSET(ORÇAMENTO!$D$15,CRONO!$F1,0))),CRONO!Y$12,OFFSET(CÁLCULO!$AB$15:$AL$15,$F1,0,OFFSET(ORÇAMENTO!$D$15,CRONO!$F1,0)))
                +IF(AND($F3&lt;&gt;"",$F3&lt;&gt;0),
                        SUMIF(CÁLCULO!$AM$15:$AW$59,CRONO!Y$12,CÁLCULO!$AB$15:$AL$59)/(ORÇAMENTO!$X$15-CÁLCULO.TotalAdmLocal)*CRONO!$F3,
                        0),
                 Y2*$S1),
          SUMIF(OFFSET($S3,1,0,$R1-2),($M1+1)&amp;"$",OFFSET(Y3,1,0,$R1-2)))</f>
        <v>#VALUE!</v>
      </c>
      <c r="Z3" s="443" t="e">
        <f aca="true" t="array" ref="Z3:Z3">IF($R1=2,
         IF(AND(ACOMPANHAMENTO="PLE",ISNUMBER($F1)),
                SUMIF((OFFSET(CÁLCULO!$AM$15:$AW$15,$F1,0,OFFSET(ORÇAMENTO!$D$15,CRONO!$F1,0))),CRONO!Z$12,OFFSET(CÁLCULO!$AB$15:$AL$15,$F1,0,OFFSET(ORÇAMENTO!$D$15,CRONO!$F1,0)))
                +IF(AND($F3&lt;&gt;"",$F3&lt;&gt;0),
                        SUMIF(CÁLCULO!$AM$15:$AW$59,CRONO!Z$12,CÁLCULO!$AB$15:$AL$59)/(ORÇAMENTO!$X$15-CÁLCULO.TotalAdmLocal)*CRONO!$F3,
                        0),
                 Z2*$S1),
          SUMIF(OFFSET($S3,1,0,$R1-2),($M1+1)&amp;"$",OFFSET(Z3,1,0,$R1-2)))</f>
        <v>#VALUE!</v>
      </c>
      <c r="AA3" s="443" t="e">
        <f aca="true" t="array" ref="AA3:AA3">IF($R1=2,
         IF(AND(ACOMPANHAMENTO="PLE",ISNUMBER($F1)),
                SUMIF((OFFSET(CÁLCULO!$AM$15:$AW$15,$F1,0,OFFSET(ORÇAMENTO!$D$15,CRONO!$F1,0))),CRONO!AA$12,OFFSET(CÁLCULO!$AB$15:$AL$15,$F1,0,OFFSET(ORÇAMENTO!$D$15,CRONO!$F1,0)))
                +IF(AND($F3&lt;&gt;"",$F3&lt;&gt;0),
                        SUMIF(CÁLCULO!$AM$15:$AW$59,CRONO!AA$12,CÁLCULO!$AB$15:$AL$59)/(ORÇAMENTO!$X$15-CÁLCULO.TotalAdmLocal)*CRONO!$F3,
                        0),
                 AA2*$S1),
          SUMIF(OFFSET($S3,1,0,$R1-2),($M1+1)&amp;"$",OFFSET(AA3,1,0,$R1-2)))</f>
        <v>#VALUE!</v>
      </c>
      <c r="AB3" s="443" t="e">
        <f aca="true" t="array" ref="AB3:AB3">IF($R1=2,
         IF(AND(ACOMPANHAMENTO="PLE",ISNUMBER($F1)),
                SUMIF((OFFSET(CÁLCULO!$AM$15:$AW$15,$F1,0,OFFSET(ORÇAMENTO!$D$15,CRONO!$F1,0))),CRONO!AB$12,OFFSET(CÁLCULO!$AB$15:$AL$15,$F1,0,OFFSET(ORÇAMENTO!$D$15,CRONO!$F1,0)))
                +IF(AND($F3&lt;&gt;"",$F3&lt;&gt;0),
                        SUMIF(CÁLCULO!$AM$15:$AW$59,CRONO!AB$12,CÁLCULO!$AB$15:$AL$59)/(ORÇAMENTO!$X$15-CÁLCULO.TotalAdmLocal)*CRONO!$F3,
                        0),
                 AB2*$S1),
          SUMIF(OFFSET($S3,1,0,$R1-2),($M1+1)&amp;"$",OFFSET(AB3,1,0,$R1-2)))</f>
        <v>#VALUE!</v>
      </c>
      <c r="AC3" s="443" t="e">
        <f aca="true" t="array" ref="AC3:AC3">IF($R1=2,
         IF(AND(ACOMPANHAMENTO="PLE",ISNUMBER($F1)),
                SUMIF((OFFSET(CÁLCULO!$AM$15:$AW$15,$F1,0,OFFSET(ORÇAMENTO!$D$15,CRONO!$F1,0))),CRONO!AC$12,OFFSET(CÁLCULO!$AB$15:$AL$15,$F1,0,OFFSET(ORÇAMENTO!$D$15,CRONO!$F1,0)))
                +IF(AND($F3&lt;&gt;"",$F3&lt;&gt;0),
                        SUMIF(CÁLCULO!$AM$15:$AW$59,CRONO!AC$12,CÁLCULO!$AB$15:$AL$59)/(ORÇAMENTO!$X$15-CÁLCULO.TotalAdmLocal)*CRONO!$F3,
                        0),
                 AC2*$S1),
          SUMIF(OFFSET($S3,1,0,$R1-2),($M1+1)&amp;"$",OFFSET(AC3,1,0,$R1-2)))</f>
        <v>#VALUE!</v>
      </c>
      <c r="AD3" s="443" t="e">
        <f aca="true" t="array" ref="AD3:AD3">IF($R1=2,
         IF(AND(ACOMPANHAMENTO="PLE",ISNUMBER($F1)),
                SUMIF((OFFSET(CÁLCULO!$AM$15:$AW$15,$F1,0,OFFSET(ORÇAMENTO!$D$15,CRONO!$F1,0))),CRONO!AD$12,OFFSET(CÁLCULO!$AB$15:$AL$15,$F1,0,OFFSET(ORÇAMENTO!$D$15,CRONO!$F1,0)))
                +IF(AND($F3&lt;&gt;"",$F3&lt;&gt;0),
                        SUMIF(CÁLCULO!$AM$15:$AW$59,CRONO!AD$12,CÁLCULO!$AB$15:$AL$59)/(ORÇAMENTO!$X$15-CÁLCULO.TotalAdmLocal)*CRONO!$F3,
                        0),
                 AD2*$S1),
          SUMIF(OFFSET($S3,1,0,$R1-2),($M1+1)&amp;"$",OFFSET(AD3,1,0,$R1-2)))</f>
        <v>#VALUE!</v>
      </c>
      <c r="AE3" s="443" t="e">
        <f aca="true" t="array" ref="AE3:AE3">IF($R1=2,
         IF(AND(ACOMPANHAMENTO="PLE",ISNUMBER($F1)),
                SUMIF((OFFSET(CÁLCULO!$AM$15:$AW$15,$F1,0,OFFSET(ORÇAMENTO!$D$15,CRONO!$F1,0))),CRONO!AE$12,OFFSET(CÁLCULO!$AB$15:$AL$15,$F1,0,OFFSET(ORÇAMENTO!$D$15,CRONO!$F1,0)))
                +IF(AND($F3&lt;&gt;"",$F3&lt;&gt;0),
                        SUMIF(CÁLCULO!$AM$15:$AW$59,CRONO!AE$12,CÁLCULO!$AB$15:$AL$59)/(ORÇAMENTO!$X$15-CÁLCULO.TotalAdmLocal)*CRONO!$F3,
                        0),
                 AE2*$S1),
          SUMIF(OFFSET($S3,1,0,$R1-2),($M1+1)&amp;"$",OFFSET(AE3,1,0,$R1-2)))</f>
        <v>#VALUE!</v>
      </c>
      <c r="AF3" s="443" t="e">
        <f aca="true" t="array" ref="AF3:AF3">IF($R1=2,
         IF(AND(ACOMPANHAMENTO="PLE",ISNUMBER($F1)),
                SUMIF((OFFSET(CÁLCULO!$AM$15:$AW$15,$F1,0,OFFSET(ORÇAMENTO!$D$15,CRONO!$F1,0))),CRONO!AF$12,OFFSET(CÁLCULO!$AB$15:$AL$15,$F1,0,OFFSET(ORÇAMENTO!$D$15,CRONO!$F1,0)))
                +IF(AND($F3&lt;&gt;"",$F3&lt;&gt;0),
                        SUMIF(CÁLCULO!$AM$15:$AW$59,CRONO!AF$12,CÁLCULO!$AB$15:$AL$59)/(ORÇAMENTO!$X$15-CÁLCULO.TotalAdmLocal)*CRONO!$F3,
                        0),
                 AF2*$S1),
          SUMIF(OFFSET($S3,1,0,$R1-2),($M1+1)&amp;"$",OFFSET(AF3,1,0,$R1-2)))</f>
        <v>#VALUE!</v>
      </c>
      <c r="AG3" s="434"/>
    </row>
    <row r="4" customFormat="false" ht="15" hidden="false" customHeight="true" outlineLevel="0" collapsed="false">
      <c r="S4" s="447" t="str">
        <f aca="false" t="array" ref="S4:S4">IF(TIPOORCAMENTO="licitado","CFF - CRONOGRAMA FÍSICO-FINANCEIRO LICITADO","CFF - CRONOGRAMA FÍSICO-FINANCEIRO")</f>
        <v>CFF - CRONOGRAMA FÍSICO-FINANCEIRO</v>
      </c>
      <c r="AE4" s="98" t="s">
        <v>704</v>
      </c>
      <c r="AF4" s="98"/>
    </row>
    <row r="5" customFormat="false" ht="15" hidden="false" customHeight="false" outlineLevel="0" collapsed="false">
      <c r="S5" s="158" t="str">
        <f aca="false">import.recurso</f>
        <v>OGU</v>
      </c>
      <c r="AE5" s="58" t="s">
        <v>707</v>
      </c>
      <c r="AF5" s="58"/>
    </row>
    <row r="6" customFormat="false" ht="12.75" hidden="false" customHeight="true" outlineLevel="0" collapsed="false"/>
    <row r="7" customFormat="false" ht="12.75" hidden="false" customHeight="true" outlineLevel="0" collapsed="false">
      <c r="F7" s="448"/>
      <c r="H7" s="449" t="s">
        <v>925</v>
      </c>
      <c r="I7" s="269" t="s">
        <v>710</v>
      </c>
      <c r="J7" s="450"/>
      <c r="K7" s="451" t="s">
        <v>926</v>
      </c>
      <c r="L7" s="452" t="s">
        <v>927</v>
      </c>
      <c r="M7" s="384"/>
      <c r="N7" s="384"/>
      <c r="O7" s="384"/>
      <c r="T7" s="383"/>
      <c r="U7" s="269" t="s">
        <v>872</v>
      </c>
      <c r="Y7" s="450"/>
      <c r="Z7" s="269" t="str">
        <f aca="false" t="array" ref="Z7:Z7">IF(TIPOORCAMENTO="Licitado","NOME DA EMPRESA","DESCRIÇÃO DO LOTE")</f>
        <v>DESCRIÇÃO DO LOTE</v>
      </c>
      <c r="AF7" s="453" t="str">
        <f aca="false" t="array" ref="AF7:AF7">IF(TIPOORCAMENTO="Licitado","Nº CTEF","")</f>
        <v/>
      </c>
    </row>
    <row r="8" customFormat="false" ht="12.75" hidden="false" customHeight="false" outlineLevel="0" collapsed="false">
      <c r="A8" s="384" t="s">
        <v>928</v>
      </c>
      <c r="E8" s="423"/>
      <c r="F8" s="204"/>
      <c r="G8" s="103" t="s">
        <v>715</v>
      </c>
      <c r="H8" s="449"/>
      <c r="I8" s="274" t="n">
        <f aca="false">Import.CR</f>
        <v>0</v>
      </c>
      <c r="J8" s="274"/>
      <c r="K8" s="454" t="n">
        <f aca="false">Import.TransfereGOV</f>
        <v>0</v>
      </c>
      <c r="L8" s="455" t="str">
        <f aca="false">Import.Proponente</f>
        <v>PREFEITURA MUNICIPAL DE TRAMANDAI</v>
      </c>
      <c r="M8" s="455"/>
      <c r="N8" s="455"/>
      <c r="O8" s="455"/>
      <c r="P8" s="455"/>
      <c r="Q8" s="455"/>
      <c r="R8" s="455"/>
      <c r="S8" s="455"/>
      <c r="T8" s="455"/>
      <c r="U8" s="274" t="str">
        <f aca="false">Import.Apelido</f>
        <v>REVITALAIZAÇÃO DA ORLA DA BEIRA RIO</v>
      </c>
      <c r="V8" s="274"/>
      <c r="W8" s="274"/>
      <c r="X8" s="274"/>
      <c r="Y8" s="274"/>
      <c r="Z8" s="456" t="n">
        <f aca="false">IF(TIPOORCAMENTO="Licitado",Import.empresa,Import.DescLote)</f>
        <v>0</v>
      </c>
      <c r="AA8" s="456"/>
      <c r="AB8" s="456"/>
      <c r="AC8" s="456"/>
      <c r="AD8" s="456"/>
      <c r="AE8" s="456"/>
      <c r="AF8" s="444" t="str">
        <f aca="false" t="array" ref="AF8:AF8">IF(TIPOORCAMENTO="Licitado",Import.CTEF,"")</f>
        <v/>
      </c>
    </row>
    <row r="9" customFormat="false" ht="12.75" hidden="false" customHeight="false" outlineLevel="0" collapsed="false">
      <c r="A9" s="457" t="n">
        <v>2</v>
      </c>
      <c r="F9" s="204"/>
      <c r="G9" s="103"/>
      <c r="H9" s="449"/>
    </row>
    <row r="10" customFormat="false" ht="12.75" hidden="false" customHeight="false" outlineLevel="0" collapsed="false">
      <c r="A10" s="436" t="n">
        <v>3</v>
      </c>
      <c r="F10" s="423" t="n">
        <f aca="true" t="array" ref="F10:F10">CRONO.LinhasNecessarias</f>
        <v>12</v>
      </c>
      <c r="G10" s="103"/>
      <c r="H10" s="458" t="n">
        <v>2</v>
      </c>
      <c r="K10" s="459" t="str">
        <f aca="true" t="array" ref="K10:K10">IF(MAX($B$13:$B$50)&lt;CRONO.LinhasNecessarias,"ERRO: NÚMERO DE LINHAS DO CRONOGRAMA INSUFICIENTE. CLIQUE EM ATUALIZAR LINHAS.",IF(AND(ACOMPANHAMENTO="PLE",ROUND(OFFSET($AG$60,0,-1),2)=0),"CRONOGRAMA DEVE SER PREENCHIDO POR EVENTOS",IF(ROUND(OFFSET($AG$60,0,-1),2)&lt;&gt;$R$51,"ERRO: CRONOGRAMA NÃO FECHA 100%","")))</f>
        <v/>
      </c>
      <c r="L10" s="459"/>
      <c r="M10" s="459"/>
      <c r="N10" s="459"/>
      <c r="O10" s="459"/>
      <c r="P10" s="459"/>
      <c r="Q10" s="459"/>
      <c r="R10" s="459"/>
      <c r="S10" s="459"/>
      <c r="T10" s="459"/>
    </row>
    <row r="11" customFormat="false" ht="12.75" hidden="false" customHeight="true" outlineLevel="0" collapsed="false">
      <c r="A11" s="444" t="n">
        <v>4</v>
      </c>
      <c r="F11" s="423" t="e">
        <f aca="false" t="array" ref="F11:F11">CRONO.ParcelaFinal</f>
        <v>#N/A</v>
      </c>
      <c r="G11" s="103"/>
      <c r="I11" s="460"/>
      <c r="J11" s="460"/>
      <c r="K11" s="459"/>
      <c r="L11" s="459"/>
      <c r="M11" s="459"/>
      <c r="N11" s="459"/>
      <c r="O11" s="459"/>
      <c r="P11" s="459"/>
      <c r="Q11" s="459"/>
      <c r="R11" s="459"/>
      <c r="S11" s="459"/>
      <c r="T11" s="459"/>
    </row>
    <row r="12" customFormat="false" ht="12.75" hidden="false" customHeight="true" outlineLevel="0" collapsed="false">
      <c r="A12" s="384" t="s">
        <v>929</v>
      </c>
      <c r="E12" s="461" t="n">
        <f aca="true">OFFSET(E12,0,-1)+1</f>
        <v>1</v>
      </c>
      <c r="G12" s="110" t="s">
        <v>720</v>
      </c>
      <c r="H12" s="462" t="s">
        <v>930</v>
      </c>
      <c r="I12" s="463" t="s">
        <v>807</v>
      </c>
      <c r="J12" s="464" t="s">
        <v>161</v>
      </c>
      <c r="K12" s="465"/>
      <c r="L12" s="465"/>
      <c r="M12" s="466"/>
      <c r="N12" s="466"/>
      <c r="O12" s="466"/>
      <c r="P12" s="466"/>
      <c r="Q12" s="466"/>
      <c r="R12" s="466"/>
      <c r="S12" s="467" t="s">
        <v>931</v>
      </c>
      <c r="T12" s="468" t="s">
        <v>932</v>
      </c>
      <c r="U12" s="469" t="n">
        <v>1</v>
      </c>
      <c r="V12" s="461" t="n">
        <f aca="true">OFFSET(V12,0,-1)+1</f>
        <v>2</v>
      </c>
      <c r="W12" s="461" t="n">
        <f aca="true">OFFSET(W12,0,-1)+1</f>
        <v>3</v>
      </c>
      <c r="X12" s="461" t="n">
        <f aca="true">OFFSET(X12,0,-1)+1</f>
        <v>4</v>
      </c>
      <c r="Y12" s="461" t="n">
        <f aca="true">OFFSET(Y12,0,-1)+1</f>
        <v>5</v>
      </c>
      <c r="Z12" s="461" t="n">
        <f aca="true">OFFSET(Z12,0,-1)+1</f>
        <v>6</v>
      </c>
      <c r="AA12" s="461" t="n">
        <f aca="true">OFFSET(AA12,0,-1)+1</f>
        <v>7</v>
      </c>
      <c r="AB12" s="461" t="n">
        <f aca="true">OFFSET(AB12,0,-1)+1</f>
        <v>8</v>
      </c>
      <c r="AC12" s="461" t="n">
        <f aca="true">OFFSET(AC12,0,-1)+1</f>
        <v>9</v>
      </c>
      <c r="AD12" s="461" t="n">
        <f aca="true">OFFSET(AD12,0,-1)+1</f>
        <v>10</v>
      </c>
      <c r="AE12" s="461" t="n">
        <f aca="true">OFFSET(AE12,0,-1)+1</f>
        <v>11</v>
      </c>
      <c r="AF12" s="470" t="n">
        <f aca="true">OFFSET(AF12,0,-1)+1</f>
        <v>12</v>
      </c>
      <c r="AG12" s="434"/>
    </row>
    <row r="13" customFormat="false" ht="24.75" hidden="false" customHeight="true" outlineLevel="0" collapsed="false">
      <c r="B13" s="471" t="s">
        <v>933</v>
      </c>
      <c r="C13" s="471" t="s">
        <v>516</v>
      </c>
      <c r="D13" s="471" t="s">
        <v>778</v>
      </c>
      <c r="E13" s="472" t="e">
        <f aca="true">OFFSET(E13,0,-1)+41-DAY(OFFSET(E13,0,-1)+40)</f>
        <v>#VALUE!</v>
      </c>
      <c r="F13" s="471" t="s">
        <v>934</v>
      </c>
      <c r="H13" s="462"/>
      <c r="I13" s="463"/>
      <c r="J13" s="464"/>
      <c r="K13" s="473"/>
      <c r="L13" s="473"/>
      <c r="M13" s="474" t="s">
        <v>805</v>
      </c>
      <c r="N13" s="474" t="n">
        <v>1</v>
      </c>
      <c r="O13" s="474" t="n">
        <v>2</v>
      </c>
      <c r="P13" s="474" t="n">
        <v>3</v>
      </c>
      <c r="Q13" s="474" t="n">
        <v>4</v>
      </c>
      <c r="R13" s="475" t="s">
        <v>935</v>
      </c>
      <c r="S13" s="467"/>
      <c r="T13" s="468"/>
      <c r="U13" s="476" t="n">
        <v>46143</v>
      </c>
      <c r="V13" s="472" t="n">
        <f aca="true">OFFSET(V13,0,-1)+41-DAY(OFFSET(V13,0,-1)+40)</f>
        <v>46174</v>
      </c>
      <c r="W13" s="472" t="n">
        <f aca="true">OFFSET(W13,0,-1)+41-DAY(OFFSET(W13,0,-1)+40)</f>
        <v>46204</v>
      </c>
      <c r="X13" s="472" t="n">
        <f aca="true">OFFSET(X13,0,-1)+41-DAY(OFFSET(X13,0,-1)+40)</f>
        <v>46235</v>
      </c>
      <c r="Y13" s="472" t="n">
        <f aca="true">OFFSET(Y13,0,-1)+41-DAY(OFFSET(Y13,0,-1)+40)</f>
        <v>46266</v>
      </c>
      <c r="Z13" s="472" t="n">
        <f aca="true">OFFSET(Z13,0,-1)+41-DAY(OFFSET(Z13,0,-1)+40)</f>
        <v>46296</v>
      </c>
      <c r="AA13" s="472" t="n">
        <f aca="true">OFFSET(AA13,0,-1)+41-DAY(OFFSET(AA13,0,-1)+40)</f>
        <v>46327</v>
      </c>
      <c r="AB13" s="472" t="n">
        <f aca="true">OFFSET(AB13,0,-1)+41-DAY(OFFSET(AB13,0,-1)+40)</f>
        <v>46357</v>
      </c>
      <c r="AC13" s="472" t="n">
        <f aca="true">OFFSET(AC13,0,-1)+41-DAY(OFFSET(AC13,0,-1)+40)</f>
        <v>46388</v>
      </c>
      <c r="AD13" s="472" t="n">
        <f aca="true">OFFSET(AD13,0,-1)+41-DAY(OFFSET(AD13,0,-1)+40)</f>
        <v>46419</v>
      </c>
      <c r="AE13" s="472" t="n">
        <f aca="true">OFFSET(AE13,0,-1)+41-DAY(OFFSET(AE13,0,-1)+40)</f>
        <v>46447</v>
      </c>
      <c r="AF13" s="477" t="n">
        <f aca="true">OFFSET(AF13,0,-1)+41-DAY(OFFSET(AF13,0,-1)+40)</f>
        <v>46478</v>
      </c>
      <c r="AG13" s="434"/>
    </row>
    <row r="14" customFormat="false" ht="12.75" hidden="false" customHeight="false" outlineLevel="0" collapsed="false">
      <c r="A14" s="384" t="str">
        <f aca="false">IF($M14&gt;1,_xlfn.CONCAT($I14," ",$J14),"")</f>
        <v/>
      </c>
      <c r="B14" s="423" t="n">
        <f aca="true">OFFSET(B14,-3,0)+1</f>
        <v>1</v>
      </c>
      <c r="C14" s="423" t="n">
        <f aca="true">IF($R14&lt;&gt;2,0,IF($S14=0,1,IF(F15&gt;0,OFFSET(QCI!$M$13,SUBSTITUTE(F15,".",""),0),OFFSET(ORÇAMENTO!$AA$15,CRONO!$F14,0))/$S14))</f>
        <v>0</v>
      </c>
      <c r="D14" s="423" t="n">
        <f aca="true">IF($R14&lt;&gt;2,0,IF($S14=0,1,IF(F15&gt;0,OFFSET(QCI!$N$13,SUBSTITUTE(F15,".",""),0),OFFSET(ORÇAMENTO!$AB$15,CRONO!$F14,0))/$S14))</f>
        <v>0</v>
      </c>
      <c r="E14" s="426" t="e">
        <f aca="false" t="array" ref="E14:E14">IF(AND($R14=2,ACOMPANHAMENTO="BM"),ROUND(E15,4),E16/$S14)</f>
        <v>#DIV/0!</v>
      </c>
      <c r="F14" s="423" t="n">
        <f aca="true" t="array" ref="F14:F14">IF(B14&lt;=ORÇAMENTO.MáximoListaCrono,MATCH(B14,ORÇAMENTO.ListaCrono,0),NA())</f>
        <v>1</v>
      </c>
      <c r="G14" s="423" t="str">
        <f aca="false">IF(AND($F15&lt;&gt;-1,$S14&gt;0),"F","")</f>
        <v/>
      </c>
      <c r="H14" s="427" t="str">
        <f aca="false" t="array" ref="H14:H14">IF(OR(S14=0,S14=""),"Linha",IF(AND(OR(ACOMPANHAMENTO="PLE",$R14&lt;&gt;2),$F15=0),"Linha",ROUND(1-SUM(U14:AG14),4)))</f>
        <v>Linha</v>
      </c>
      <c r="I14" s="428" t="str">
        <f aca="true">IF($F15=0,OFFSET(ORÇAMENTO!O$15,$F14,0),IF($F15&lt;&gt;-1,OFFSET(QCI!$D$13,$F15,0),""))</f>
        <v>1.</v>
      </c>
      <c r="J14" s="429" t="str">
        <f aca="true">IF($F15=0,OFFSET(ORÇAMENTO!R$15,$F14,0),IF($F15&lt;&gt;-1,OFFSET(QCI!$G$13,$F15,0),""))</f>
        <v>REVITALIZAÇÃO DA ORLA DA BEIRA RIO </v>
      </c>
      <c r="K14" s="429"/>
      <c r="L14" s="429"/>
      <c r="M14" s="430" t="n">
        <f aca="true">IF($F15=0,OFFSET(ORÇAMENTO!C$15,$F14,0),1)</f>
        <v>1</v>
      </c>
      <c r="N14" s="431" t="n">
        <f aca="true">IF($F15=-1,0,IF(N$13&lt;=$M14,IF(ISERROR(MATCH(N$13,OFFSET($M14,1,0,ROW($M$50)-ROW($M14)-1),0)),ROW($M$50)-ROW($M14)-1,MATCH(N$13,OFFSET($M14,1,0,ROW($M$50)-ROW($M14)-1),0)-1),0))</f>
        <v>35</v>
      </c>
      <c r="O14" s="431" t="n">
        <f aca="true">IF($F15=-1,0,IF(O$13&lt;=$M14,IF(ISERROR(MATCH(O$13,OFFSET($M14,1,0,ROW($M$50)-ROW($M14)-1),0)),ROW($M$50)-ROW($M14)-1,MATCH(O$13,OFFSET($M14,1,0,ROW($M$50)-ROW($M14)-1),0)-1),0))</f>
        <v>0</v>
      </c>
      <c r="P14" s="431" t="n">
        <f aca="true">IF($F15=-1,0,IF(P$13&lt;=$M14,IF(ISERROR(MATCH(P$13,OFFSET($M14,1,0,ROW($M$50)-ROW($M14)-1),0)),ROW($M$50)-ROW($M14)-1,MATCH(P$13,OFFSET($M14,1,0,ROW($M$50)-ROW($M14)-1),0)-1),0))</f>
        <v>0</v>
      </c>
      <c r="Q14" s="431" t="n">
        <f aca="true">IF($F15=-1,0,IF(Q$13&lt;=$M14,IF(ISERROR(MATCH(Q$13,OFFSET($M14,1,0,ROW($M$50)-ROW($M14)-1),0)),ROW($M$50)-ROW($M14)-1,MATCH(Q$13,OFFSET($M14,1,0,ROW($M$50)-ROW($M14)-1),0)-1),0))</f>
        <v>0</v>
      </c>
      <c r="R14" s="431" t="n">
        <f aca="true">MIN(OFFSET(M14,0,1,,M14))</f>
        <v>35</v>
      </c>
      <c r="S14" s="432" t="n">
        <f aca="true">IF($F15=0,OFFSET(ORÇAMENTO!X$15,$F14,0),IF($F15&lt;&gt;-1,OFFSET(QCI!$O$13,$F15,0),""))</f>
        <v>0</v>
      </c>
      <c r="T14" s="433" t="s">
        <v>924</v>
      </c>
      <c r="U14" s="426" t="e">
        <f aca="false" t="array" ref="U14:U14">IF(AND($R14=2,ACOMPANHAMENTO="BM"),ROUND(U15,4),U16/$S14)</f>
        <v>#DIV/0!</v>
      </c>
      <c r="V14" s="426" t="e">
        <f aca="false" t="array" ref="V14:V14">IF(AND($R14=2,ACOMPANHAMENTO="BM"),ROUND(V15,4),V16/$S14)</f>
        <v>#DIV/0!</v>
      </c>
      <c r="W14" s="426" t="e">
        <f aca="false" t="array" ref="W14:W14">IF(AND($R14=2,ACOMPANHAMENTO="BM"),ROUND(W15,4),W16/$S14)</f>
        <v>#DIV/0!</v>
      </c>
      <c r="X14" s="426" t="e">
        <f aca="false" t="array" ref="X14:X14">IF(AND($R14=2,ACOMPANHAMENTO="BM"),ROUND(X15,4),X16/$S14)</f>
        <v>#DIV/0!</v>
      </c>
      <c r="Y14" s="426" t="e">
        <f aca="false" t="array" ref="Y14:Y14">IF(AND($R14=2,ACOMPANHAMENTO="BM"),ROUND(Y15,4),Y16/$S14)</f>
        <v>#DIV/0!</v>
      </c>
      <c r="Z14" s="426" t="e">
        <f aca="false" t="array" ref="Z14:Z14">IF(AND($R14=2,ACOMPANHAMENTO="BM"),ROUND(Z15,4),Z16/$S14)</f>
        <v>#DIV/0!</v>
      </c>
      <c r="AA14" s="426" t="e">
        <f aca="false" t="array" ref="AA14:AA14">IF(AND($R14=2,ACOMPANHAMENTO="BM"),ROUND(AA15,4),AA16/$S14)</f>
        <v>#DIV/0!</v>
      </c>
      <c r="AB14" s="426" t="e">
        <f aca="false" t="array" ref="AB14:AB14">IF(AND($R14=2,ACOMPANHAMENTO="BM"),ROUND(AB15,4),AB16/$S14)</f>
        <v>#DIV/0!</v>
      </c>
      <c r="AC14" s="426" t="e">
        <f aca="false" t="array" ref="AC14:AC14">IF(AND($R14=2,ACOMPANHAMENTO="BM"),ROUND(AC15,4),AC16/$S14)</f>
        <v>#DIV/0!</v>
      </c>
      <c r="AD14" s="426" t="e">
        <f aca="false" t="array" ref="AD14:AD14">IF(AND($R14=2,ACOMPANHAMENTO="BM"),ROUND(AD15,4),AD16/$S14)</f>
        <v>#DIV/0!</v>
      </c>
      <c r="AE14" s="426" t="e">
        <f aca="false" t="array" ref="AE14:AE14">IF(AND($R14=2,ACOMPANHAMENTO="BM"),ROUND(AE15,4),AE16/$S14)</f>
        <v>#DIV/0!</v>
      </c>
      <c r="AF14" s="426" t="e">
        <f aca="false" t="array" ref="AF14:AF14">IF(AND($R14=2,ACOMPANHAMENTO="BM"),ROUND(AF15,4),AF16/$S14)</f>
        <v>#DIV/0!</v>
      </c>
      <c r="AG14" s="434"/>
    </row>
    <row r="15" customFormat="false" ht="12.75" hidden="false" customHeight="true" outlineLevel="0" collapsed="false">
      <c r="E15" s="435"/>
      <c r="F15" s="423" t="n">
        <f aca="true">IF(ISERROR(F14),IF(1+COUNTIF($M$13:OFFSET(M14,-1,0),1)&lt;=MAX(QCI!$D$13:$D$24),1+COUNTIF($M$13:OFFSET(M14,-1,0),1),-1),0)</f>
        <v>0</v>
      </c>
      <c r="G15" s="423" t="str">
        <f aca="true" t="array" ref="G15:G15">IF(ACOMPANHAMENTO="BM",OFFSET(G15,-1,0),"")</f>
        <v/>
      </c>
      <c r="H15" s="436" t="str">
        <f aca="false" t="array" ref="H15:H15">IF(OR(S14=0,S14=""),"vazia",IF(AND(OR(ACOMPANHAMENTO="PLE",$R14&lt;&gt;2),$F15=0),"calculada","--&gt;"))</f>
        <v>vazia</v>
      </c>
      <c r="I15" s="437"/>
      <c r="J15" s="438" t="str">
        <f aca="false">IF(AND(H14&lt;&gt;0,ISNUMBER(H14)),"PREENCHA ESTA LINHA --&gt;","")</f>
        <v/>
      </c>
      <c r="K15" s="438"/>
      <c r="L15" s="438"/>
      <c r="M15" s="439"/>
      <c r="N15" s="439"/>
      <c r="O15" s="439"/>
      <c r="P15" s="439"/>
      <c r="Q15" s="439"/>
      <c r="R15" s="439"/>
      <c r="S15" s="440"/>
      <c r="T15" s="441"/>
      <c r="U15" s="435"/>
      <c r="V15" s="435"/>
      <c r="W15" s="435"/>
      <c r="X15" s="435"/>
      <c r="Y15" s="435"/>
      <c r="Z15" s="435"/>
      <c r="AA15" s="435"/>
      <c r="AB15" s="435"/>
      <c r="AC15" s="435"/>
      <c r="AD15" s="435"/>
      <c r="AE15" s="435"/>
      <c r="AF15" s="435"/>
      <c r="AG15" s="434"/>
    </row>
    <row r="16" customFormat="false" ht="12.75" hidden="true" customHeight="true" outlineLevel="0" collapsed="false">
      <c r="D16" s="442"/>
      <c r="E16" s="443" t="n">
        <f aca="true" t="array" ref="E16:E16">IF($R14=2,
         IF(AND(ACOMPANHAMENTO="PLE",ISNUMBER($F14)),
                SUMIF((OFFSET(CÁLCULO!$AM$15:$AW$15,$F14,0,OFFSET(ORÇAMENTO!$D$15,CRONO!$F14,0))),CRONO!E$12,OFFSET(CÁLCULO!$AB$15:$AL$15,$F14,0,OFFSET(ORÇAMENTO!$D$15,CRONO!$F14,0)))
                +IF(AND($F16&lt;&gt;"",$F16&lt;&gt;0),
                        SUMIF(CÁLCULO!$AM$15:$AW$59,CRONO!E$12,CÁLCULO!$AB$15:$AL$59)/(ORÇAMENTO!$X$15-CÁLCULO.TotalAdmLocal)*CRONO!$F16,
                        0),
                 E15*$S14),
          SUMIF(OFFSET($S16,1,0,$R14-2),($M14+1)&amp;"$",OFFSET(E16,1,0,$R14-2)))</f>
        <v>0</v>
      </c>
      <c r="F16" s="423" t="str">
        <f aca="true">IF(OR($R14&lt;&gt;2,AUTOEVENTO&lt;&gt;"manual",$F15&gt;0),"",
        IF(Import.TipoArredondamento="Tradicional",
              SUMIF(OFFSET(CÁLCULO!$M$15,CRONO!$F14,0,OFFSET(ORÇAMENTO!$D$15,CRONO!$F14,0)),1,OFFSET(ORÇAMENTO!$X$15,CRONO!$F14,0,OFFSET(ORÇAMENTO!$D$15,CRONO!$F14,0))),
              0))</f>
        <v/>
      </c>
      <c r="H16" s="444"/>
      <c r="S16" s="445" t="str">
        <f aca="false">M14&amp;"$"</f>
        <v>1$</v>
      </c>
      <c r="T16" s="446"/>
      <c r="U16" s="443" t="n">
        <f aca="true" t="array" ref="U16:U16">IF($R14=2,
         IF(AND(ACOMPANHAMENTO="PLE",ISNUMBER($F14)),
                SUMIF((OFFSET(CÁLCULO!$AM$15:$AW$15,$F14,0,OFFSET(ORÇAMENTO!$D$15,CRONO!$F14,0))),CRONO!U$12,OFFSET(CÁLCULO!$AB$15:$AL$15,$F14,0,OFFSET(ORÇAMENTO!$D$15,CRONO!$F14,0)))
                +IF(AND($F16&lt;&gt;"",$F16&lt;&gt;0),
                        SUMIF(CÁLCULO!$AM$15:$AW$59,CRONO!U$12,CÁLCULO!$AB$15:$AL$59)/(ORÇAMENTO!$X$15-CÁLCULO.TotalAdmLocal)*CRONO!$F16,
                        0),
                 U15*$S14),
          SUMIF(OFFSET($S16,1,0,$R14-2),($M14+1)&amp;"$",OFFSET(U16,1,0,$R14-2)))</f>
        <v>0</v>
      </c>
      <c r="V16" s="443" t="n">
        <f aca="true" t="array" ref="V16:V16">IF($R14=2,
         IF(AND(ACOMPANHAMENTO="PLE",ISNUMBER($F14)),
                SUMIF((OFFSET(CÁLCULO!$AM$15:$AW$15,$F14,0,OFFSET(ORÇAMENTO!$D$15,CRONO!$F14,0))),CRONO!V$12,OFFSET(CÁLCULO!$AB$15:$AL$15,$F14,0,OFFSET(ORÇAMENTO!$D$15,CRONO!$F14,0)))
                +IF(AND($F16&lt;&gt;"",$F16&lt;&gt;0),
                        SUMIF(CÁLCULO!$AM$15:$AW$59,CRONO!V$12,CÁLCULO!$AB$15:$AL$59)/(ORÇAMENTO!$X$15-CÁLCULO.TotalAdmLocal)*CRONO!$F16,
                        0),
                 V15*$S14),
          SUMIF(OFFSET($S16,1,0,$R14-2),($M14+1)&amp;"$",OFFSET(V16,1,0,$R14-2)))</f>
        <v>0</v>
      </c>
      <c r="W16" s="443" t="n">
        <f aca="true" t="array" ref="W16:W16">IF($R14=2,
         IF(AND(ACOMPANHAMENTO="PLE",ISNUMBER($F14)),
                SUMIF((OFFSET(CÁLCULO!$AM$15:$AW$15,$F14,0,OFFSET(ORÇAMENTO!$D$15,CRONO!$F14,0))),CRONO!W$12,OFFSET(CÁLCULO!$AB$15:$AL$15,$F14,0,OFFSET(ORÇAMENTO!$D$15,CRONO!$F14,0)))
                +IF(AND($F16&lt;&gt;"",$F16&lt;&gt;0),
                        SUMIF(CÁLCULO!$AM$15:$AW$59,CRONO!W$12,CÁLCULO!$AB$15:$AL$59)/(ORÇAMENTO!$X$15-CÁLCULO.TotalAdmLocal)*CRONO!$F16,
                        0),
                 W15*$S14),
          SUMIF(OFFSET($S16,1,0,$R14-2),($M14+1)&amp;"$",OFFSET(W16,1,0,$R14-2)))</f>
        <v>0</v>
      </c>
      <c r="X16" s="443" t="n">
        <f aca="true" t="array" ref="X16:X16">IF($R14=2,
         IF(AND(ACOMPANHAMENTO="PLE",ISNUMBER($F14)),
                SUMIF((OFFSET(CÁLCULO!$AM$15:$AW$15,$F14,0,OFFSET(ORÇAMENTO!$D$15,CRONO!$F14,0))),CRONO!X$12,OFFSET(CÁLCULO!$AB$15:$AL$15,$F14,0,OFFSET(ORÇAMENTO!$D$15,CRONO!$F14,0)))
                +IF(AND($F16&lt;&gt;"",$F16&lt;&gt;0),
                        SUMIF(CÁLCULO!$AM$15:$AW$59,CRONO!X$12,CÁLCULO!$AB$15:$AL$59)/(ORÇAMENTO!$X$15-CÁLCULO.TotalAdmLocal)*CRONO!$F16,
                        0),
                 X15*$S14),
          SUMIF(OFFSET($S16,1,0,$R14-2),($M14+1)&amp;"$",OFFSET(X16,1,0,$R14-2)))</f>
        <v>0</v>
      </c>
      <c r="Y16" s="443" t="n">
        <f aca="true" t="array" ref="Y16:Y16">IF($R14=2,
         IF(AND(ACOMPANHAMENTO="PLE",ISNUMBER($F14)),
                SUMIF((OFFSET(CÁLCULO!$AM$15:$AW$15,$F14,0,OFFSET(ORÇAMENTO!$D$15,CRONO!$F14,0))),CRONO!Y$12,OFFSET(CÁLCULO!$AB$15:$AL$15,$F14,0,OFFSET(ORÇAMENTO!$D$15,CRONO!$F14,0)))
                +IF(AND($F16&lt;&gt;"",$F16&lt;&gt;0),
                        SUMIF(CÁLCULO!$AM$15:$AW$59,CRONO!Y$12,CÁLCULO!$AB$15:$AL$59)/(ORÇAMENTO!$X$15-CÁLCULO.TotalAdmLocal)*CRONO!$F16,
                        0),
                 Y15*$S14),
          SUMIF(OFFSET($S16,1,0,$R14-2),($M14+1)&amp;"$",OFFSET(Y16,1,0,$R14-2)))</f>
        <v>0</v>
      </c>
      <c r="Z16" s="443" t="n">
        <f aca="true" t="array" ref="Z16:Z16">IF($R14=2,
         IF(AND(ACOMPANHAMENTO="PLE",ISNUMBER($F14)),
                SUMIF((OFFSET(CÁLCULO!$AM$15:$AW$15,$F14,0,OFFSET(ORÇAMENTO!$D$15,CRONO!$F14,0))),CRONO!Z$12,OFFSET(CÁLCULO!$AB$15:$AL$15,$F14,0,OFFSET(ORÇAMENTO!$D$15,CRONO!$F14,0)))
                +IF(AND($F16&lt;&gt;"",$F16&lt;&gt;0),
                        SUMIF(CÁLCULO!$AM$15:$AW$59,CRONO!Z$12,CÁLCULO!$AB$15:$AL$59)/(ORÇAMENTO!$X$15-CÁLCULO.TotalAdmLocal)*CRONO!$F16,
                        0),
                 Z15*$S14),
          SUMIF(OFFSET($S16,1,0,$R14-2),($M14+1)&amp;"$",OFFSET(Z16,1,0,$R14-2)))</f>
        <v>0</v>
      </c>
      <c r="AA16" s="443" t="n">
        <f aca="true" t="array" ref="AA16:AA16">IF($R14=2,
         IF(AND(ACOMPANHAMENTO="PLE",ISNUMBER($F14)),
                SUMIF((OFFSET(CÁLCULO!$AM$15:$AW$15,$F14,0,OFFSET(ORÇAMENTO!$D$15,CRONO!$F14,0))),CRONO!AA$12,OFFSET(CÁLCULO!$AB$15:$AL$15,$F14,0,OFFSET(ORÇAMENTO!$D$15,CRONO!$F14,0)))
                +IF(AND($F16&lt;&gt;"",$F16&lt;&gt;0),
                        SUMIF(CÁLCULO!$AM$15:$AW$59,CRONO!AA$12,CÁLCULO!$AB$15:$AL$59)/(ORÇAMENTO!$X$15-CÁLCULO.TotalAdmLocal)*CRONO!$F16,
                        0),
                 AA15*$S14),
          SUMIF(OFFSET($S16,1,0,$R14-2),($M14+1)&amp;"$",OFFSET(AA16,1,0,$R14-2)))</f>
        <v>0</v>
      </c>
      <c r="AB16" s="443" t="n">
        <f aca="true" t="array" ref="AB16:AB16">IF($R14=2,
         IF(AND(ACOMPANHAMENTO="PLE",ISNUMBER($F14)),
                SUMIF((OFFSET(CÁLCULO!$AM$15:$AW$15,$F14,0,OFFSET(ORÇAMENTO!$D$15,CRONO!$F14,0))),CRONO!AB$12,OFFSET(CÁLCULO!$AB$15:$AL$15,$F14,0,OFFSET(ORÇAMENTO!$D$15,CRONO!$F14,0)))
                +IF(AND($F16&lt;&gt;"",$F16&lt;&gt;0),
                        SUMIF(CÁLCULO!$AM$15:$AW$59,CRONO!AB$12,CÁLCULO!$AB$15:$AL$59)/(ORÇAMENTO!$X$15-CÁLCULO.TotalAdmLocal)*CRONO!$F16,
                        0),
                 AB15*$S14),
          SUMIF(OFFSET($S16,1,0,$R14-2),($M14+1)&amp;"$",OFFSET(AB16,1,0,$R14-2)))</f>
        <v>0</v>
      </c>
      <c r="AC16" s="443" t="n">
        <f aca="true" t="array" ref="AC16:AC16">IF($R14=2,
         IF(AND(ACOMPANHAMENTO="PLE",ISNUMBER($F14)),
                SUMIF((OFFSET(CÁLCULO!$AM$15:$AW$15,$F14,0,OFFSET(ORÇAMENTO!$D$15,CRONO!$F14,0))),CRONO!AC$12,OFFSET(CÁLCULO!$AB$15:$AL$15,$F14,0,OFFSET(ORÇAMENTO!$D$15,CRONO!$F14,0)))
                +IF(AND($F16&lt;&gt;"",$F16&lt;&gt;0),
                        SUMIF(CÁLCULO!$AM$15:$AW$59,CRONO!AC$12,CÁLCULO!$AB$15:$AL$59)/(ORÇAMENTO!$X$15-CÁLCULO.TotalAdmLocal)*CRONO!$F16,
                        0),
                 AC15*$S14),
          SUMIF(OFFSET($S16,1,0,$R14-2),($M14+1)&amp;"$",OFFSET(AC16,1,0,$R14-2)))</f>
        <v>0</v>
      </c>
      <c r="AD16" s="443" t="n">
        <f aca="true" t="array" ref="AD16:AD16">IF($R14=2,
         IF(AND(ACOMPANHAMENTO="PLE",ISNUMBER($F14)),
                SUMIF((OFFSET(CÁLCULO!$AM$15:$AW$15,$F14,0,OFFSET(ORÇAMENTO!$D$15,CRONO!$F14,0))),CRONO!AD$12,OFFSET(CÁLCULO!$AB$15:$AL$15,$F14,0,OFFSET(ORÇAMENTO!$D$15,CRONO!$F14,0)))
                +IF(AND($F16&lt;&gt;"",$F16&lt;&gt;0),
                        SUMIF(CÁLCULO!$AM$15:$AW$59,CRONO!AD$12,CÁLCULO!$AB$15:$AL$59)/(ORÇAMENTO!$X$15-CÁLCULO.TotalAdmLocal)*CRONO!$F16,
                        0),
                 AD15*$S14),
          SUMIF(OFFSET($S16,1,0,$R14-2),($M14+1)&amp;"$",OFFSET(AD16,1,0,$R14-2)))</f>
        <v>0</v>
      </c>
      <c r="AE16" s="443" t="n">
        <f aca="true" t="array" ref="AE16:AE16">IF($R14=2,
         IF(AND(ACOMPANHAMENTO="PLE",ISNUMBER($F14)),
                SUMIF((OFFSET(CÁLCULO!$AM$15:$AW$15,$F14,0,OFFSET(ORÇAMENTO!$D$15,CRONO!$F14,0))),CRONO!AE$12,OFFSET(CÁLCULO!$AB$15:$AL$15,$F14,0,OFFSET(ORÇAMENTO!$D$15,CRONO!$F14,0)))
                +IF(AND($F16&lt;&gt;"",$F16&lt;&gt;0),
                        SUMIF(CÁLCULO!$AM$15:$AW$59,CRONO!AE$12,CÁLCULO!$AB$15:$AL$59)/(ORÇAMENTO!$X$15-CÁLCULO.TotalAdmLocal)*CRONO!$F16,
                        0),
                 AE15*$S14),
          SUMIF(OFFSET($S16,1,0,$R14-2),($M14+1)&amp;"$",OFFSET(AE16,1,0,$R14-2)))</f>
        <v>0</v>
      </c>
      <c r="AF16" s="443" t="n">
        <f aca="true" t="array" ref="AF16:AF16">IF($R14=2,
         IF(AND(ACOMPANHAMENTO="PLE",ISNUMBER($F14)),
                SUMIF((OFFSET(CÁLCULO!$AM$15:$AW$15,$F14,0,OFFSET(ORÇAMENTO!$D$15,CRONO!$F14,0))),CRONO!AF$12,OFFSET(CÁLCULO!$AB$15:$AL$15,$F14,0,OFFSET(ORÇAMENTO!$D$15,CRONO!$F14,0)))
                +IF(AND($F16&lt;&gt;"",$F16&lt;&gt;0),
                        SUMIF(CÁLCULO!$AM$15:$AW$59,CRONO!AF$12,CÁLCULO!$AB$15:$AL$59)/(ORÇAMENTO!$X$15-CÁLCULO.TotalAdmLocal)*CRONO!$F16,
                        0),
                 AF15*$S14),
          SUMIF(OFFSET($S16,1,0,$R14-2),($M14+1)&amp;"$",OFFSET(AF16,1,0,$R14-2)))</f>
        <v>0</v>
      </c>
      <c r="AG16" s="434"/>
    </row>
    <row r="17" customFormat="false" ht="12.75" hidden="false" customHeight="false" outlineLevel="0" collapsed="false">
      <c r="A17" s="384" t="str">
        <f aca="false">IF($M17&gt;1,_xlfn.CONCAT($I17," ",$J17),"")</f>
        <v>1.1. ADMINISTRAÇÃO DA OBRA</v>
      </c>
      <c r="B17" s="423" t="n">
        <f aca="true">OFFSET(B17,-3,0)+1</f>
        <v>2</v>
      </c>
      <c r="C17" s="423" t="n">
        <f aca="true">IF($R17&lt;&gt;2,0,IF($S17=0,1,IF(F18&gt;0,OFFSET(QCI!$M$13,SUBSTITUTE(F18,".",""),0),OFFSET(ORÇAMENTO!$AA$15,CRONO!$F17,0))/$S17))</f>
        <v>1</v>
      </c>
      <c r="D17" s="423" t="n">
        <f aca="true">IF($R17&lt;&gt;2,0,IF($S17=0,1,IF(F18&gt;0,OFFSET(QCI!$N$13,SUBSTITUTE(F18,".",""),0),OFFSET(ORÇAMENTO!$AB$15,CRONO!$F17,0))/$S17))</f>
        <v>1</v>
      </c>
      <c r="E17" s="426" t="n">
        <f aca="false" t="array" ref="E17:E17">IF(AND($R17=2,ACOMPANHAMENTO="BM"),ROUND(E18,4),E19/$S17)</f>
        <v>0</v>
      </c>
      <c r="F17" s="423" t="n">
        <f aca="true" t="array" ref="F17:F17">IF(B17&lt;=ORÇAMENTO.MáximoListaCrono,MATCH(B17,ORÇAMENTO.ListaCrono,0),NA())</f>
        <v>2</v>
      </c>
      <c r="G17" s="423" t="str">
        <f aca="false">IF(AND($F18&lt;&gt;-1,$S17&gt;0),"F","")</f>
        <v/>
      </c>
      <c r="H17" s="427" t="str">
        <f aca="false" t="array" ref="H17:H17">IF(OR(S17=0,S17=""),"Linha",IF(AND(OR(ACOMPANHAMENTO="PLE",$R17&lt;&gt;2),$F18=0),"Linha",ROUND(1-SUM(U17:AG17),4)))</f>
        <v>Linha</v>
      </c>
      <c r="I17" s="428" t="str">
        <f aca="true">IF($F18=0,OFFSET(ORÇAMENTO!O$15,$F17,0),IF($F18&lt;&gt;-1,OFFSET(QCI!$D$13,$F18,0),""))</f>
        <v>1.1.</v>
      </c>
      <c r="J17" s="429" t="str">
        <f aca="true">IF($F18=0,OFFSET(ORÇAMENTO!R$15,$F17,0),IF($F18&lt;&gt;-1,OFFSET(QCI!$G$13,$F18,0),""))</f>
        <v>ADMINISTRAÇÃO DA OBRA</v>
      </c>
      <c r="K17" s="429"/>
      <c r="L17" s="429"/>
      <c r="M17" s="430" t="n">
        <f aca="true">IF($F18=0,OFFSET(ORÇAMENTO!C$15,$F17,0),1)</f>
        <v>2</v>
      </c>
      <c r="N17" s="431" t="n">
        <f aca="true">IF($F18=-1,0,IF(N$13&lt;=$M17,IF(ISERROR(MATCH(N$13,OFFSET($M17,1,0,ROW($M$50)-ROW($M17)-1),0)),ROW($M$50)-ROW($M17)-1,MATCH(N$13,OFFSET($M17,1,0,ROW($M$50)-ROW($M17)-1),0)-1),0))</f>
        <v>32</v>
      </c>
      <c r="O17" s="431" t="n">
        <f aca="true">IF($F18=-1,0,IF(O$13&lt;=$M17,IF(ISERROR(MATCH(O$13,OFFSET($M17,1,0,ROW($M$50)-ROW($M17)-1),0)),ROW($M$50)-ROW($M17)-1,MATCH(O$13,OFFSET($M17,1,0,ROW($M$50)-ROW($M17)-1),0)-1),0))</f>
        <v>2</v>
      </c>
      <c r="P17" s="431" t="n">
        <f aca="true">IF($F18=-1,0,IF(P$13&lt;=$M17,IF(ISERROR(MATCH(P$13,OFFSET($M17,1,0,ROW($M$50)-ROW($M17)-1),0)),ROW($M$50)-ROW($M17)-1,MATCH(P$13,OFFSET($M17,1,0,ROW($M$50)-ROW($M17)-1),0)-1),0))</f>
        <v>0</v>
      </c>
      <c r="Q17" s="431" t="n">
        <f aca="true">IF($F18=-1,0,IF(Q$13&lt;=$M17,IF(ISERROR(MATCH(Q$13,OFFSET($M17,1,0,ROW($M$50)-ROW($M17)-1),0)),ROW($M$50)-ROW($M17)-1,MATCH(Q$13,OFFSET($M17,1,0,ROW($M$50)-ROW($M17)-1),0)-1),0))</f>
        <v>0</v>
      </c>
      <c r="R17" s="431" t="n">
        <f aca="true">MIN(OFFSET(M17,0,1,,M17))</f>
        <v>2</v>
      </c>
      <c r="S17" s="432" t="n">
        <f aca="true">IF($F18=0,OFFSET(ORÇAMENTO!X$15,$F17,0),IF($F18&lt;&gt;-1,OFFSET(QCI!$O$13,$F18,0),""))</f>
        <v>0</v>
      </c>
      <c r="T17" s="433" t="s">
        <v>924</v>
      </c>
      <c r="U17" s="426" t="n">
        <f aca="false" t="array" ref="U17:U17">IF(AND($R17=2,ACOMPANHAMENTO="BM"),ROUND(U18,4),U19/$S17)</f>
        <v>0.0412</v>
      </c>
      <c r="V17" s="426" t="n">
        <f aca="false" t="array" ref="V17:V17">IF(AND($R17=2,ACOMPANHAMENTO="BM"),ROUND(V18,4),V19/$S17)</f>
        <v>0.0681</v>
      </c>
      <c r="W17" s="426" t="n">
        <f aca="false" t="array" ref="W17:W17">IF(AND($R17=2,ACOMPANHAMENTO="BM"),ROUND(W18,4),W19/$S17)</f>
        <v>0.0682</v>
      </c>
      <c r="X17" s="426" t="n">
        <f aca="false" t="array" ref="X17:X17">IF(AND($R17=2,ACOMPANHAMENTO="BM"),ROUND(X18,4),X19/$S17)</f>
        <v>0.0682</v>
      </c>
      <c r="Y17" s="426" t="n">
        <f aca="false" t="array" ref="Y17:Y17">IF(AND($R17=2,ACOMPANHAMENTO="BM"),ROUND(Y18,4),Y19/$S17)</f>
        <v>0.0681</v>
      </c>
      <c r="Z17" s="426" t="n">
        <f aca="false" t="array" ref="Z17:Z17">IF(AND($R17=2,ACOMPANHAMENTO="BM"),ROUND(Z18,4),Z19/$S17)</f>
        <v>0.0682</v>
      </c>
      <c r="AA17" s="426" t="n">
        <f aca="false" t="array" ref="AA17:AA17">IF(AND($R17=2,ACOMPANHAMENTO="BM"),ROUND(AA18,4),AA19/$S17)</f>
        <v>0.0681</v>
      </c>
      <c r="AB17" s="426" t="n">
        <f aca="false" t="array" ref="AB17:AB17">IF(AND($R17=2,ACOMPANHAMENTO="BM"),ROUND(AB18,4),AB19/$S17)</f>
        <v>0.0682</v>
      </c>
      <c r="AC17" s="426" t="n">
        <f aca="false" t="array" ref="AC17:AC17">IF(AND($R17=2,ACOMPANHAMENTO="BM"),ROUND(AC18,4),AC19/$S17)</f>
        <v>0.0837</v>
      </c>
      <c r="AD17" s="426" t="n">
        <f aca="false" t="array" ref="AD17:AD17">IF(AND($R17=2,ACOMPANHAMENTO="BM"),ROUND(AD18,4),AD19/$S17)</f>
        <v>0.1149</v>
      </c>
      <c r="AE17" s="426" t="n">
        <f aca="false" t="array" ref="AE17:AE17">IF(AND($R17=2,ACOMPANHAMENTO="BM"),ROUND(AE18,4),AE19/$S17)</f>
        <v>0.1602</v>
      </c>
      <c r="AF17" s="426" t="n">
        <f aca="false" t="array" ref="AF17:AF17">IF(AND($R17=2,ACOMPANHAMENTO="BM"),ROUND(AF18,4),AF19/$S17)</f>
        <v>0.1229</v>
      </c>
      <c r="AG17" s="434"/>
    </row>
    <row r="18" customFormat="false" ht="12.75" hidden="false" customHeight="true" outlineLevel="0" collapsed="false">
      <c r="E18" s="435"/>
      <c r="F18" s="423" t="n">
        <f aca="true">IF(ISERROR(F17),IF(1+COUNTIF($M$13:OFFSET(M17,-1,0),1)&lt;=MAX(QCI!$D$13:$D$24),1+COUNTIF($M$13:OFFSET(M17,-1,0),1),-1),0)</f>
        <v>0</v>
      </c>
      <c r="G18" s="423" t="str">
        <f aca="true" t="array" ref="G18:G18">IF(ACOMPANHAMENTO="BM",OFFSET(G18,-1,0),"")</f>
        <v/>
      </c>
      <c r="H18" s="436" t="str">
        <f aca="false" t="array" ref="H18:H18">IF(OR(S17=0,S17=""),"vazia",IF(AND(OR(ACOMPANHAMENTO="PLE",$R17&lt;&gt;2),$F18=0),"calculada","--&gt;"))</f>
        <v>vazia</v>
      </c>
      <c r="I18" s="437"/>
      <c r="J18" s="438" t="str">
        <f aca="false">IF(AND(H17&lt;&gt;0,ISNUMBER(H17)),"PREENCHA ESTA LINHA --&gt;","")</f>
        <v/>
      </c>
      <c r="K18" s="438"/>
      <c r="L18" s="438"/>
      <c r="M18" s="439"/>
      <c r="N18" s="439"/>
      <c r="O18" s="439"/>
      <c r="P18" s="439"/>
      <c r="Q18" s="439"/>
      <c r="R18" s="439"/>
      <c r="S18" s="440"/>
      <c r="T18" s="441"/>
      <c r="U18" s="435" t="n">
        <v>0.0412</v>
      </c>
      <c r="V18" s="435" t="n">
        <v>0.0681</v>
      </c>
      <c r="W18" s="435" t="n">
        <v>0.0682</v>
      </c>
      <c r="X18" s="435" t="n">
        <v>0.0682</v>
      </c>
      <c r="Y18" s="435" t="n">
        <v>0.0681</v>
      </c>
      <c r="Z18" s="435" t="n">
        <v>0.0682</v>
      </c>
      <c r="AA18" s="435" t="n">
        <v>0.0681</v>
      </c>
      <c r="AB18" s="435" t="n">
        <v>0.0682</v>
      </c>
      <c r="AC18" s="435" t="n">
        <v>0.0837</v>
      </c>
      <c r="AD18" s="435" t="n">
        <v>0.1149</v>
      </c>
      <c r="AE18" s="435" t="n">
        <v>0.1602</v>
      </c>
      <c r="AF18" s="435" t="n">
        <v>0.1229</v>
      </c>
      <c r="AG18" s="434"/>
    </row>
    <row r="19" customFormat="false" ht="12.75" hidden="true" customHeight="true" outlineLevel="0" collapsed="false">
      <c r="D19" s="442"/>
      <c r="E19" s="443" t="n">
        <f aca="true" t="array" ref="E19:E19">IF($R17=2,
         IF(AND(ACOMPANHAMENTO="PLE",ISNUMBER($F17)),
                SUMIF((OFFSET(CÁLCULO!$AM$15:$AW$15,$F17,0,OFFSET(ORÇAMENTO!$D$15,CRONO!$F17,0))),CRONO!E$12,OFFSET(CÁLCULO!$AB$15:$AL$15,$F17,0,OFFSET(ORÇAMENTO!$D$15,CRONO!$F17,0)))
                +IF(AND($F19&lt;&gt;"",$F19&lt;&gt;0),
                        SUMIF(CÁLCULO!$AM$15:$AW$59,CRONO!E$12,CÁLCULO!$AB$15:$AL$59)/(ORÇAMENTO!$X$15-CÁLCULO.TotalAdmLocal)*CRONO!$F19,
                        0),
                 E18*$S17),
          SUMIF(OFFSET($S19,1,0,$R17-2),($M17+1)&amp;"$",OFFSET(E19,1,0,$R17-2)))</f>
        <v>0</v>
      </c>
      <c r="F19" s="423" t="str">
        <f aca="true">IF(OR($R17&lt;&gt;2,AUTOEVENTO&lt;&gt;"manual",$F18&gt;0),"",
        IF(Import.TipoArredondamento="Tradicional",
              SUMIF(OFFSET(CÁLCULO!$M$15,CRONO!$F17,0,OFFSET(ORÇAMENTO!$D$15,CRONO!$F17,0)),1,OFFSET(ORÇAMENTO!$X$15,CRONO!$F17,0,OFFSET(ORÇAMENTO!$D$15,CRONO!$F17,0))),
              0))</f>
        <v/>
      </c>
      <c r="H19" s="444"/>
      <c r="S19" s="445" t="str">
        <f aca="false">M17&amp;"$"</f>
        <v>2$</v>
      </c>
      <c r="T19" s="446"/>
      <c r="U19" s="443" t="n">
        <f aca="true" t="array" ref="U19:U19">IF($R17=2,
         IF(AND(ACOMPANHAMENTO="PLE",ISNUMBER($F17)),
                SUMIF((OFFSET(CÁLCULO!$AM$15:$AW$15,$F17,0,OFFSET(ORÇAMENTO!$D$15,CRONO!$F17,0))),CRONO!U$12,OFFSET(CÁLCULO!$AB$15:$AL$15,$F17,0,OFFSET(ORÇAMENTO!$D$15,CRONO!$F17,0)))
                +IF(AND($F19&lt;&gt;"",$F19&lt;&gt;0),
                        SUMIF(CÁLCULO!$AM$15:$AW$59,CRONO!U$12,CÁLCULO!$AB$15:$AL$59)/(ORÇAMENTO!$X$15-CÁLCULO.TotalAdmLocal)*CRONO!$F19,
                        0),
                 U18*$S17),
          SUMIF(OFFSET($S19,1,0,$R17-2),($M17+1)&amp;"$",OFFSET(U19,1,0,$R17-2)))</f>
        <v>0</v>
      </c>
      <c r="V19" s="443" t="n">
        <f aca="true" t="array" ref="V19:V19">IF($R17=2,
         IF(AND(ACOMPANHAMENTO="PLE",ISNUMBER($F17)),
                SUMIF((OFFSET(CÁLCULO!$AM$15:$AW$15,$F17,0,OFFSET(ORÇAMENTO!$D$15,CRONO!$F17,0))),CRONO!V$12,OFFSET(CÁLCULO!$AB$15:$AL$15,$F17,0,OFFSET(ORÇAMENTO!$D$15,CRONO!$F17,0)))
                +IF(AND($F19&lt;&gt;"",$F19&lt;&gt;0),
                        SUMIF(CÁLCULO!$AM$15:$AW$59,CRONO!V$12,CÁLCULO!$AB$15:$AL$59)/(ORÇAMENTO!$X$15-CÁLCULO.TotalAdmLocal)*CRONO!$F19,
                        0),
                 V18*$S17),
          SUMIF(OFFSET($S19,1,0,$R17-2),($M17+1)&amp;"$",OFFSET(V19,1,0,$R17-2)))</f>
        <v>0</v>
      </c>
      <c r="W19" s="443" t="n">
        <f aca="true" t="array" ref="W19:W19">IF($R17=2,
         IF(AND(ACOMPANHAMENTO="PLE",ISNUMBER($F17)),
                SUMIF((OFFSET(CÁLCULO!$AM$15:$AW$15,$F17,0,OFFSET(ORÇAMENTO!$D$15,CRONO!$F17,0))),CRONO!W$12,OFFSET(CÁLCULO!$AB$15:$AL$15,$F17,0,OFFSET(ORÇAMENTO!$D$15,CRONO!$F17,0)))
                +IF(AND($F19&lt;&gt;"",$F19&lt;&gt;0),
                        SUMIF(CÁLCULO!$AM$15:$AW$59,CRONO!W$12,CÁLCULO!$AB$15:$AL$59)/(ORÇAMENTO!$X$15-CÁLCULO.TotalAdmLocal)*CRONO!$F19,
                        0),
                 W18*$S17),
          SUMIF(OFFSET($S19,1,0,$R17-2),($M17+1)&amp;"$",OFFSET(W19,1,0,$R17-2)))</f>
        <v>0</v>
      </c>
      <c r="X19" s="443" t="n">
        <f aca="true" t="array" ref="X19:X19">IF($R17=2,
         IF(AND(ACOMPANHAMENTO="PLE",ISNUMBER($F17)),
                SUMIF((OFFSET(CÁLCULO!$AM$15:$AW$15,$F17,0,OFFSET(ORÇAMENTO!$D$15,CRONO!$F17,0))),CRONO!X$12,OFFSET(CÁLCULO!$AB$15:$AL$15,$F17,0,OFFSET(ORÇAMENTO!$D$15,CRONO!$F17,0)))
                +IF(AND($F19&lt;&gt;"",$F19&lt;&gt;0),
                        SUMIF(CÁLCULO!$AM$15:$AW$59,CRONO!X$12,CÁLCULO!$AB$15:$AL$59)/(ORÇAMENTO!$X$15-CÁLCULO.TotalAdmLocal)*CRONO!$F19,
                        0),
                 X18*$S17),
          SUMIF(OFFSET($S19,1,0,$R17-2),($M17+1)&amp;"$",OFFSET(X19,1,0,$R17-2)))</f>
        <v>0</v>
      </c>
      <c r="Y19" s="443" t="n">
        <f aca="true" t="array" ref="Y19:Y19">IF($R17=2,
         IF(AND(ACOMPANHAMENTO="PLE",ISNUMBER($F17)),
                SUMIF((OFFSET(CÁLCULO!$AM$15:$AW$15,$F17,0,OFFSET(ORÇAMENTO!$D$15,CRONO!$F17,0))),CRONO!Y$12,OFFSET(CÁLCULO!$AB$15:$AL$15,$F17,0,OFFSET(ORÇAMENTO!$D$15,CRONO!$F17,0)))
                +IF(AND($F19&lt;&gt;"",$F19&lt;&gt;0),
                        SUMIF(CÁLCULO!$AM$15:$AW$59,CRONO!Y$12,CÁLCULO!$AB$15:$AL$59)/(ORÇAMENTO!$X$15-CÁLCULO.TotalAdmLocal)*CRONO!$F19,
                        0),
                 Y18*$S17),
          SUMIF(OFFSET($S19,1,0,$R17-2),($M17+1)&amp;"$",OFFSET(Y19,1,0,$R17-2)))</f>
        <v>0</v>
      </c>
      <c r="Z19" s="443" t="n">
        <f aca="true" t="array" ref="Z19:Z19">IF($R17=2,
         IF(AND(ACOMPANHAMENTO="PLE",ISNUMBER($F17)),
                SUMIF((OFFSET(CÁLCULO!$AM$15:$AW$15,$F17,0,OFFSET(ORÇAMENTO!$D$15,CRONO!$F17,0))),CRONO!Z$12,OFFSET(CÁLCULO!$AB$15:$AL$15,$F17,0,OFFSET(ORÇAMENTO!$D$15,CRONO!$F17,0)))
                +IF(AND($F19&lt;&gt;"",$F19&lt;&gt;0),
                        SUMIF(CÁLCULO!$AM$15:$AW$59,CRONO!Z$12,CÁLCULO!$AB$15:$AL$59)/(ORÇAMENTO!$X$15-CÁLCULO.TotalAdmLocal)*CRONO!$F19,
                        0),
                 Z18*$S17),
          SUMIF(OFFSET($S19,1,0,$R17-2),($M17+1)&amp;"$",OFFSET(Z19,1,0,$R17-2)))</f>
        <v>0</v>
      </c>
      <c r="AA19" s="443" t="n">
        <f aca="true" t="array" ref="AA19:AA19">IF($R17=2,
         IF(AND(ACOMPANHAMENTO="PLE",ISNUMBER($F17)),
                SUMIF((OFFSET(CÁLCULO!$AM$15:$AW$15,$F17,0,OFFSET(ORÇAMENTO!$D$15,CRONO!$F17,0))),CRONO!AA$12,OFFSET(CÁLCULO!$AB$15:$AL$15,$F17,0,OFFSET(ORÇAMENTO!$D$15,CRONO!$F17,0)))
                +IF(AND($F19&lt;&gt;"",$F19&lt;&gt;0),
                        SUMIF(CÁLCULO!$AM$15:$AW$59,CRONO!AA$12,CÁLCULO!$AB$15:$AL$59)/(ORÇAMENTO!$X$15-CÁLCULO.TotalAdmLocal)*CRONO!$F19,
                        0),
                 AA18*$S17),
          SUMIF(OFFSET($S19,1,0,$R17-2),($M17+1)&amp;"$",OFFSET(AA19,1,0,$R17-2)))</f>
        <v>0</v>
      </c>
      <c r="AB19" s="443" t="n">
        <f aca="true" t="array" ref="AB19:AB19">IF($R17=2,
         IF(AND(ACOMPANHAMENTO="PLE",ISNUMBER($F17)),
                SUMIF((OFFSET(CÁLCULO!$AM$15:$AW$15,$F17,0,OFFSET(ORÇAMENTO!$D$15,CRONO!$F17,0))),CRONO!AB$12,OFFSET(CÁLCULO!$AB$15:$AL$15,$F17,0,OFFSET(ORÇAMENTO!$D$15,CRONO!$F17,0)))
                +IF(AND($F19&lt;&gt;"",$F19&lt;&gt;0),
                        SUMIF(CÁLCULO!$AM$15:$AW$59,CRONO!AB$12,CÁLCULO!$AB$15:$AL$59)/(ORÇAMENTO!$X$15-CÁLCULO.TotalAdmLocal)*CRONO!$F19,
                        0),
                 AB18*$S17),
          SUMIF(OFFSET($S19,1,0,$R17-2),($M17+1)&amp;"$",OFFSET(AB19,1,0,$R17-2)))</f>
        <v>0</v>
      </c>
      <c r="AC19" s="443" t="n">
        <f aca="true" t="array" ref="AC19:AC19">IF($R17=2,
         IF(AND(ACOMPANHAMENTO="PLE",ISNUMBER($F17)),
                SUMIF((OFFSET(CÁLCULO!$AM$15:$AW$15,$F17,0,OFFSET(ORÇAMENTO!$D$15,CRONO!$F17,0))),CRONO!AC$12,OFFSET(CÁLCULO!$AB$15:$AL$15,$F17,0,OFFSET(ORÇAMENTO!$D$15,CRONO!$F17,0)))
                +IF(AND($F19&lt;&gt;"",$F19&lt;&gt;0),
                        SUMIF(CÁLCULO!$AM$15:$AW$59,CRONO!AC$12,CÁLCULO!$AB$15:$AL$59)/(ORÇAMENTO!$X$15-CÁLCULO.TotalAdmLocal)*CRONO!$F19,
                        0),
                 AC18*$S17),
          SUMIF(OFFSET($S19,1,0,$R17-2),($M17+1)&amp;"$",OFFSET(AC19,1,0,$R17-2)))</f>
        <v>0</v>
      </c>
      <c r="AD19" s="443" t="n">
        <f aca="true" t="array" ref="AD19:AD19">IF($R17=2,
         IF(AND(ACOMPANHAMENTO="PLE",ISNUMBER($F17)),
                SUMIF((OFFSET(CÁLCULO!$AM$15:$AW$15,$F17,0,OFFSET(ORÇAMENTO!$D$15,CRONO!$F17,0))),CRONO!AD$12,OFFSET(CÁLCULO!$AB$15:$AL$15,$F17,0,OFFSET(ORÇAMENTO!$D$15,CRONO!$F17,0)))
                +IF(AND($F19&lt;&gt;"",$F19&lt;&gt;0),
                        SUMIF(CÁLCULO!$AM$15:$AW$59,CRONO!AD$12,CÁLCULO!$AB$15:$AL$59)/(ORÇAMENTO!$X$15-CÁLCULO.TotalAdmLocal)*CRONO!$F19,
                        0),
                 AD18*$S17),
          SUMIF(OFFSET($S19,1,0,$R17-2),($M17+1)&amp;"$",OFFSET(AD19,1,0,$R17-2)))</f>
        <v>0</v>
      </c>
      <c r="AE19" s="443" t="n">
        <f aca="true" t="array" ref="AE19:AE19">IF($R17=2,
         IF(AND(ACOMPANHAMENTO="PLE",ISNUMBER($F17)),
                SUMIF((OFFSET(CÁLCULO!$AM$15:$AW$15,$F17,0,OFFSET(ORÇAMENTO!$D$15,CRONO!$F17,0))),CRONO!AE$12,OFFSET(CÁLCULO!$AB$15:$AL$15,$F17,0,OFFSET(ORÇAMENTO!$D$15,CRONO!$F17,0)))
                +IF(AND($F19&lt;&gt;"",$F19&lt;&gt;0),
                        SUMIF(CÁLCULO!$AM$15:$AW$59,CRONO!AE$12,CÁLCULO!$AB$15:$AL$59)/(ORÇAMENTO!$X$15-CÁLCULO.TotalAdmLocal)*CRONO!$F19,
                        0),
                 AE18*$S17),
          SUMIF(OFFSET($S19,1,0,$R17-2),($M17+1)&amp;"$",OFFSET(AE19,1,0,$R17-2)))</f>
        <v>0</v>
      </c>
      <c r="AF19" s="443" t="n">
        <f aca="true" t="array" ref="AF19:AF19">IF($R17=2,
         IF(AND(ACOMPANHAMENTO="PLE",ISNUMBER($F17)),
                SUMIF((OFFSET(CÁLCULO!$AM$15:$AW$15,$F17,0,OFFSET(ORÇAMENTO!$D$15,CRONO!$F17,0))),CRONO!AF$12,OFFSET(CÁLCULO!$AB$15:$AL$15,$F17,0,OFFSET(ORÇAMENTO!$D$15,CRONO!$F17,0)))
                +IF(AND($F19&lt;&gt;"",$F19&lt;&gt;0),
                        SUMIF(CÁLCULO!$AM$15:$AW$59,CRONO!AF$12,CÁLCULO!$AB$15:$AL$59)/(ORÇAMENTO!$X$15-CÁLCULO.TotalAdmLocal)*CRONO!$F19,
                        0),
                 AF18*$S17),
          SUMIF(OFFSET($S19,1,0,$R17-2),($M17+1)&amp;"$",OFFSET(AF19,1,0,$R17-2)))</f>
        <v>0</v>
      </c>
      <c r="AG19" s="434"/>
    </row>
    <row r="20" customFormat="false" ht="12.75" hidden="false" customHeight="false" outlineLevel="0" collapsed="false">
      <c r="A20" s="384" t="str">
        <f aca="false">IF($M20&gt;1,_xlfn.CONCAT($I20," ",$J20),"")</f>
        <v>1.2. MOBILIZAÇÃO E DESMOBILIZAÇÃO</v>
      </c>
      <c r="B20" s="423" t="n">
        <f aca="true">OFFSET(B20,-3,0)+1</f>
        <v>3</v>
      </c>
      <c r="C20" s="423" t="n">
        <f aca="true">IF($R20&lt;&gt;2,0,IF($S20=0,1,IF(F21&gt;0,OFFSET(QCI!$M$13,SUBSTITUTE(F21,".",""),0),OFFSET(ORÇAMENTO!$AA$15,CRONO!$F20,0))/$S20))</f>
        <v>1</v>
      </c>
      <c r="D20" s="423" t="n">
        <f aca="true">IF($R20&lt;&gt;2,0,IF($S20=0,1,IF(F21&gt;0,OFFSET(QCI!$N$13,SUBSTITUTE(F21,".",""),0),OFFSET(ORÇAMENTO!$AB$15,CRONO!$F20,0))/$S20))</f>
        <v>1</v>
      </c>
      <c r="E20" s="426" t="n">
        <f aca="false" t="array" ref="E20:E20">IF(AND($R20=2,ACOMPANHAMENTO="BM"),ROUND(E21,4),E22/$S20)</f>
        <v>0</v>
      </c>
      <c r="F20" s="423" t="n">
        <f aca="true" t="array" ref="F20:F20">IF(B20&lt;=ORÇAMENTO.MáximoListaCrono,MATCH(B20,ORÇAMENTO.ListaCrono,0),NA())</f>
        <v>4</v>
      </c>
      <c r="G20" s="423" t="str">
        <f aca="false">IF(AND($F21&lt;&gt;-1,$S20&gt;0),"F","")</f>
        <v/>
      </c>
      <c r="H20" s="427" t="str">
        <f aca="false" t="array" ref="H20:H20">IF(OR(S20=0,S20=""),"Linha",IF(AND(OR(ACOMPANHAMENTO="PLE",$R20&lt;&gt;2),$F21=0),"Linha",ROUND(1-SUM(U20:AG20),4)))</f>
        <v>Linha</v>
      </c>
      <c r="I20" s="428" t="str">
        <f aca="true">IF($F21=0,OFFSET(ORÇAMENTO!O$15,$F20,0),IF($F21&lt;&gt;-1,OFFSET(QCI!$D$13,$F21,0),""))</f>
        <v>1.2.</v>
      </c>
      <c r="J20" s="429" t="str">
        <f aca="true">IF($F21=0,OFFSET(ORÇAMENTO!R$15,$F20,0),IF($F21&lt;&gt;-1,OFFSET(QCI!$G$13,$F21,0),""))</f>
        <v>MOBILIZAÇÃO E DESMOBILIZAÇÃO</v>
      </c>
      <c r="K20" s="429"/>
      <c r="L20" s="429"/>
      <c r="M20" s="430" t="n">
        <f aca="true">IF($F21=0,OFFSET(ORÇAMENTO!C$15,$F20,0),1)</f>
        <v>2</v>
      </c>
      <c r="N20" s="431" t="n">
        <f aca="true">IF($F21=-1,0,IF(N$13&lt;=$M20,IF(ISERROR(MATCH(N$13,OFFSET($M20,1,0,ROW($M$50)-ROW($M20)-1),0)),ROW($M$50)-ROW($M20)-1,MATCH(N$13,OFFSET($M20,1,0,ROW($M$50)-ROW($M20)-1),0)-1),0))</f>
        <v>29</v>
      </c>
      <c r="O20" s="431" t="n">
        <f aca="true">IF($F21=-1,0,IF(O$13&lt;=$M20,IF(ISERROR(MATCH(O$13,OFFSET($M20,1,0,ROW($M$50)-ROW($M20)-1),0)),ROW($M$50)-ROW($M20)-1,MATCH(O$13,OFFSET($M20,1,0,ROW($M$50)-ROW($M20)-1),0)-1),0))</f>
        <v>2</v>
      </c>
      <c r="P20" s="431" t="n">
        <f aca="true">IF($F21=-1,0,IF(P$13&lt;=$M20,IF(ISERROR(MATCH(P$13,OFFSET($M20,1,0,ROW($M$50)-ROW($M20)-1),0)),ROW($M$50)-ROW($M20)-1,MATCH(P$13,OFFSET($M20,1,0,ROW($M$50)-ROW($M20)-1),0)-1),0))</f>
        <v>0</v>
      </c>
      <c r="Q20" s="431" t="n">
        <f aca="true">IF($F21=-1,0,IF(Q$13&lt;=$M20,IF(ISERROR(MATCH(Q$13,OFFSET($M20,1,0,ROW($M$50)-ROW($M20)-1),0)),ROW($M$50)-ROW($M20)-1,MATCH(Q$13,OFFSET($M20,1,0,ROW($M$50)-ROW($M20)-1),0)-1),0))</f>
        <v>0</v>
      </c>
      <c r="R20" s="431" t="n">
        <f aca="true">MIN(OFFSET(M20,0,1,,M20))</f>
        <v>2</v>
      </c>
      <c r="S20" s="432" t="n">
        <f aca="true">IF($F21=0,OFFSET(ORÇAMENTO!X$15,$F20,0),IF($F21&lt;&gt;-1,OFFSET(QCI!$O$13,$F21,0),""))</f>
        <v>0</v>
      </c>
      <c r="T20" s="433" t="s">
        <v>924</v>
      </c>
      <c r="U20" s="426" t="n">
        <f aca="false" t="array" ref="U20:U20">IF(AND($R20=2,ACOMPANHAMENTO="BM"),ROUND(U21,4),U22/$S20)</f>
        <v>0.5</v>
      </c>
      <c r="V20" s="426" t="n">
        <f aca="false" t="array" ref="V20:V20">IF(AND($R20=2,ACOMPANHAMENTO="BM"),ROUND(V21,4),V22/$S20)</f>
        <v>0</v>
      </c>
      <c r="W20" s="426" t="n">
        <f aca="false" t="array" ref="W20:W20">IF(AND($R20=2,ACOMPANHAMENTO="BM"),ROUND(W21,4),W22/$S20)</f>
        <v>0</v>
      </c>
      <c r="X20" s="426" t="n">
        <f aca="false" t="array" ref="X20:X20">IF(AND($R20=2,ACOMPANHAMENTO="BM"),ROUND(X21,4),X22/$S20)</f>
        <v>0</v>
      </c>
      <c r="Y20" s="426" t="n">
        <f aca="false" t="array" ref="Y20:Y20">IF(AND($R20=2,ACOMPANHAMENTO="BM"),ROUND(Y21,4),Y22/$S20)</f>
        <v>0</v>
      </c>
      <c r="Z20" s="426" t="n">
        <f aca="false" t="array" ref="Z20:Z20">IF(AND($R20=2,ACOMPANHAMENTO="BM"),ROUND(Z21,4),Z22/$S20)</f>
        <v>0</v>
      </c>
      <c r="AA20" s="426" t="n">
        <f aca="false" t="array" ref="AA20:AA20">IF(AND($R20=2,ACOMPANHAMENTO="BM"),ROUND(AA21,4),AA22/$S20)</f>
        <v>0</v>
      </c>
      <c r="AB20" s="426" t="n">
        <f aca="false" t="array" ref="AB20:AB20">IF(AND($R20=2,ACOMPANHAMENTO="BM"),ROUND(AB21,4),AB22/$S20)</f>
        <v>0</v>
      </c>
      <c r="AC20" s="426" t="n">
        <f aca="false" t="array" ref="AC20:AC20">IF(AND($R20=2,ACOMPANHAMENTO="BM"),ROUND(AC21,4),AC22/$S20)</f>
        <v>0</v>
      </c>
      <c r="AD20" s="426" t="n">
        <f aca="false" t="array" ref="AD20:AD20">IF(AND($R20=2,ACOMPANHAMENTO="BM"),ROUND(AD21,4),AD22/$S20)</f>
        <v>0</v>
      </c>
      <c r="AE20" s="426" t="n">
        <f aca="false" t="array" ref="AE20:AE20">IF(AND($R20=2,ACOMPANHAMENTO="BM"),ROUND(AE21,4),AE22/$S20)</f>
        <v>0</v>
      </c>
      <c r="AF20" s="426" t="n">
        <f aca="false" t="array" ref="AF20:AF20">IF(AND($R20=2,ACOMPANHAMENTO="BM"),ROUND(AF21,4),AF22/$S20)</f>
        <v>0.5</v>
      </c>
      <c r="AG20" s="434"/>
    </row>
    <row r="21" customFormat="false" ht="12.75" hidden="false" customHeight="true" outlineLevel="0" collapsed="false">
      <c r="E21" s="435"/>
      <c r="F21" s="423" t="n">
        <f aca="true">IF(ISERROR(F20),IF(1+COUNTIF($M$13:OFFSET(M20,-1,0),1)&lt;=MAX(QCI!$D$13:$D$24),1+COUNTIF($M$13:OFFSET(M20,-1,0),1),-1),0)</f>
        <v>0</v>
      </c>
      <c r="G21" s="423" t="str">
        <f aca="true" t="array" ref="G21:G21">IF(ACOMPANHAMENTO="BM",OFFSET(G21,-1,0),"")</f>
        <v/>
      </c>
      <c r="H21" s="436" t="str">
        <f aca="false" t="array" ref="H21:H21">IF(OR(S20=0,S20=""),"vazia",IF(AND(OR(ACOMPANHAMENTO="PLE",$R20&lt;&gt;2),$F21=0),"calculada","--&gt;"))</f>
        <v>vazia</v>
      </c>
      <c r="I21" s="437"/>
      <c r="J21" s="438" t="str">
        <f aca="false">IF(AND(H20&lt;&gt;0,ISNUMBER(H20)),"PREENCHA ESTA LINHA --&gt;","")</f>
        <v/>
      </c>
      <c r="K21" s="438"/>
      <c r="L21" s="438"/>
      <c r="M21" s="439"/>
      <c r="N21" s="439"/>
      <c r="O21" s="439"/>
      <c r="P21" s="439"/>
      <c r="Q21" s="439"/>
      <c r="R21" s="439"/>
      <c r="S21" s="440"/>
      <c r="T21" s="441"/>
      <c r="U21" s="435" t="n">
        <v>0.5</v>
      </c>
      <c r="V21" s="435"/>
      <c r="W21" s="435"/>
      <c r="X21" s="435"/>
      <c r="Y21" s="435"/>
      <c r="Z21" s="435"/>
      <c r="AA21" s="435"/>
      <c r="AB21" s="435"/>
      <c r="AC21" s="435"/>
      <c r="AD21" s="435"/>
      <c r="AE21" s="435"/>
      <c r="AF21" s="435" t="n">
        <v>0.5</v>
      </c>
      <c r="AG21" s="434"/>
    </row>
    <row r="22" customFormat="false" ht="12.75" hidden="true" customHeight="true" outlineLevel="0" collapsed="false">
      <c r="D22" s="442"/>
      <c r="E22" s="443" t="n">
        <f aca="true" t="array" ref="E22:E22">IF($R20=2,
         IF(AND(ACOMPANHAMENTO="PLE",ISNUMBER($F20)),
                SUMIF((OFFSET(CÁLCULO!$AM$15:$AW$15,$F20,0,OFFSET(ORÇAMENTO!$D$15,CRONO!$F20,0))),CRONO!E$12,OFFSET(CÁLCULO!$AB$15:$AL$15,$F20,0,OFFSET(ORÇAMENTO!$D$15,CRONO!$F20,0)))
                +IF(AND($F22&lt;&gt;"",$F22&lt;&gt;0),
                        SUMIF(CÁLCULO!$AM$15:$AW$59,CRONO!E$12,CÁLCULO!$AB$15:$AL$59)/(ORÇAMENTO!$X$15-CÁLCULO.TotalAdmLocal)*CRONO!$F22,
                        0),
                 E21*$S20),
          SUMIF(OFFSET($S22,1,0,$R20-2),($M20+1)&amp;"$",OFFSET(E22,1,0,$R20-2)))</f>
        <v>0</v>
      </c>
      <c r="F22" s="423" t="str">
        <f aca="true">IF(OR($R20&lt;&gt;2,AUTOEVENTO&lt;&gt;"manual",$F21&gt;0),"",
        IF(Import.TipoArredondamento="Tradicional",
              SUMIF(OFFSET(CÁLCULO!$M$15,CRONO!$F20,0,OFFSET(ORÇAMENTO!$D$15,CRONO!$F20,0)),1,OFFSET(ORÇAMENTO!$X$15,CRONO!$F20,0,OFFSET(ORÇAMENTO!$D$15,CRONO!$F20,0))),
              0))</f>
        <v/>
      </c>
      <c r="H22" s="444"/>
      <c r="S22" s="445" t="str">
        <f aca="false">M20&amp;"$"</f>
        <v>2$</v>
      </c>
      <c r="T22" s="446"/>
      <c r="U22" s="443" t="n">
        <f aca="true" t="array" ref="U22:U22">IF($R20=2,
         IF(AND(ACOMPANHAMENTO="PLE",ISNUMBER($F20)),
                SUMIF((OFFSET(CÁLCULO!$AM$15:$AW$15,$F20,0,OFFSET(ORÇAMENTO!$D$15,CRONO!$F20,0))),CRONO!U$12,OFFSET(CÁLCULO!$AB$15:$AL$15,$F20,0,OFFSET(ORÇAMENTO!$D$15,CRONO!$F20,0)))
                +IF(AND($F22&lt;&gt;"",$F22&lt;&gt;0),
                        SUMIF(CÁLCULO!$AM$15:$AW$59,CRONO!U$12,CÁLCULO!$AB$15:$AL$59)/(ORÇAMENTO!$X$15-CÁLCULO.TotalAdmLocal)*CRONO!$F22,
                        0),
                 U21*$S20),
          SUMIF(OFFSET($S22,1,0,$R20-2),($M20+1)&amp;"$",OFFSET(U22,1,0,$R20-2)))</f>
        <v>0</v>
      </c>
      <c r="V22" s="443" t="n">
        <f aca="true" t="array" ref="V22:V22">IF($R20=2,
         IF(AND(ACOMPANHAMENTO="PLE",ISNUMBER($F20)),
                SUMIF((OFFSET(CÁLCULO!$AM$15:$AW$15,$F20,0,OFFSET(ORÇAMENTO!$D$15,CRONO!$F20,0))),CRONO!V$12,OFFSET(CÁLCULO!$AB$15:$AL$15,$F20,0,OFFSET(ORÇAMENTO!$D$15,CRONO!$F20,0)))
                +IF(AND($F22&lt;&gt;"",$F22&lt;&gt;0),
                        SUMIF(CÁLCULO!$AM$15:$AW$59,CRONO!V$12,CÁLCULO!$AB$15:$AL$59)/(ORÇAMENTO!$X$15-CÁLCULO.TotalAdmLocal)*CRONO!$F22,
                        0),
                 V21*$S20),
          SUMIF(OFFSET($S22,1,0,$R20-2),($M20+1)&amp;"$",OFFSET(V22,1,0,$R20-2)))</f>
        <v>0</v>
      </c>
      <c r="W22" s="443" t="n">
        <f aca="true" t="array" ref="W22:W22">IF($R20=2,
         IF(AND(ACOMPANHAMENTO="PLE",ISNUMBER($F20)),
                SUMIF((OFFSET(CÁLCULO!$AM$15:$AW$15,$F20,0,OFFSET(ORÇAMENTO!$D$15,CRONO!$F20,0))),CRONO!W$12,OFFSET(CÁLCULO!$AB$15:$AL$15,$F20,0,OFFSET(ORÇAMENTO!$D$15,CRONO!$F20,0)))
                +IF(AND($F22&lt;&gt;"",$F22&lt;&gt;0),
                        SUMIF(CÁLCULO!$AM$15:$AW$59,CRONO!W$12,CÁLCULO!$AB$15:$AL$59)/(ORÇAMENTO!$X$15-CÁLCULO.TotalAdmLocal)*CRONO!$F22,
                        0),
                 W21*$S20),
          SUMIF(OFFSET($S22,1,0,$R20-2),($M20+1)&amp;"$",OFFSET(W22,1,0,$R20-2)))</f>
        <v>0</v>
      </c>
      <c r="X22" s="443" t="n">
        <f aca="true" t="array" ref="X22:X22">IF($R20=2,
         IF(AND(ACOMPANHAMENTO="PLE",ISNUMBER($F20)),
                SUMIF((OFFSET(CÁLCULO!$AM$15:$AW$15,$F20,0,OFFSET(ORÇAMENTO!$D$15,CRONO!$F20,0))),CRONO!X$12,OFFSET(CÁLCULO!$AB$15:$AL$15,$F20,0,OFFSET(ORÇAMENTO!$D$15,CRONO!$F20,0)))
                +IF(AND($F22&lt;&gt;"",$F22&lt;&gt;0),
                        SUMIF(CÁLCULO!$AM$15:$AW$59,CRONO!X$12,CÁLCULO!$AB$15:$AL$59)/(ORÇAMENTO!$X$15-CÁLCULO.TotalAdmLocal)*CRONO!$F22,
                        0),
                 X21*$S20),
          SUMIF(OFFSET($S22,1,0,$R20-2),($M20+1)&amp;"$",OFFSET(X22,1,0,$R20-2)))</f>
        <v>0</v>
      </c>
      <c r="Y22" s="443" t="n">
        <f aca="true" t="array" ref="Y22:Y22">IF($R20=2,
         IF(AND(ACOMPANHAMENTO="PLE",ISNUMBER($F20)),
                SUMIF((OFFSET(CÁLCULO!$AM$15:$AW$15,$F20,0,OFFSET(ORÇAMENTO!$D$15,CRONO!$F20,0))),CRONO!Y$12,OFFSET(CÁLCULO!$AB$15:$AL$15,$F20,0,OFFSET(ORÇAMENTO!$D$15,CRONO!$F20,0)))
                +IF(AND($F22&lt;&gt;"",$F22&lt;&gt;0),
                        SUMIF(CÁLCULO!$AM$15:$AW$59,CRONO!Y$12,CÁLCULO!$AB$15:$AL$59)/(ORÇAMENTO!$X$15-CÁLCULO.TotalAdmLocal)*CRONO!$F22,
                        0),
                 Y21*$S20),
          SUMIF(OFFSET($S22,1,0,$R20-2),($M20+1)&amp;"$",OFFSET(Y22,1,0,$R20-2)))</f>
        <v>0</v>
      </c>
      <c r="Z22" s="443" t="n">
        <f aca="true" t="array" ref="Z22:Z22">IF($R20=2,
         IF(AND(ACOMPANHAMENTO="PLE",ISNUMBER($F20)),
                SUMIF((OFFSET(CÁLCULO!$AM$15:$AW$15,$F20,0,OFFSET(ORÇAMENTO!$D$15,CRONO!$F20,0))),CRONO!Z$12,OFFSET(CÁLCULO!$AB$15:$AL$15,$F20,0,OFFSET(ORÇAMENTO!$D$15,CRONO!$F20,0)))
                +IF(AND($F22&lt;&gt;"",$F22&lt;&gt;0),
                        SUMIF(CÁLCULO!$AM$15:$AW$59,CRONO!Z$12,CÁLCULO!$AB$15:$AL$59)/(ORÇAMENTO!$X$15-CÁLCULO.TotalAdmLocal)*CRONO!$F22,
                        0),
                 Z21*$S20),
          SUMIF(OFFSET($S22,1,0,$R20-2),($M20+1)&amp;"$",OFFSET(Z22,1,0,$R20-2)))</f>
        <v>0</v>
      </c>
      <c r="AA22" s="443" t="n">
        <f aca="true" t="array" ref="AA22:AA22">IF($R20=2,
         IF(AND(ACOMPANHAMENTO="PLE",ISNUMBER($F20)),
                SUMIF((OFFSET(CÁLCULO!$AM$15:$AW$15,$F20,0,OFFSET(ORÇAMENTO!$D$15,CRONO!$F20,0))),CRONO!AA$12,OFFSET(CÁLCULO!$AB$15:$AL$15,$F20,0,OFFSET(ORÇAMENTO!$D$15,CRONO!$F20,0)))
                +IF(AND($F22&lt;&gt;"",$F22&lt;&gt;0),
                        SUMIF(CÁLCULO!$AM$15:$AW$59,CRONO!AA$12,CÁLCULO!$AB$15:$AL$59)/(ORÇAMENTO!$X$15-CÁLCULO.TotalAdmLocal)*CRONO!$F22,
                        0),
                 AA21*$S20),
          SUMIF(OFFSET($S22,1,0,$R20-2),($M20+1)&amp;"$",OFFSET(AA22,1,0,$R20-2)))</f>
        <v>0</v>
      </c>
      <c r="AB22" s="443" t="n">
        <f aca="true" t="array" ref="AB22:AB22">IF($R20=2,
         IF(AND(ACOMPANHAMENTO="PLE",ISNUMBER($F20)),
                SUMIF((OFFSET(CÁLCULO!$AM$15:$AW$15,$F20,0,OFFSET(ORÇAMENTO!$D$15,CRONO!$F20,0))),CRONO!AB$12,OFFSET(CÁLCULO!$AB$15:$AL$15,$F20,0,OFFSET(ORÇAMENTO!$D$15,CRONO!$F20,0)))
                +IF(AND($F22&lt;&gt;"",$F22&lt;&gt;0),
                        SUMIF(CÁLCULO!$AM$15:$AW$59,CRONO!AB$12,CÁLCULO!$AB$15:$AL$59)/(ORÇAMENTO!$X$15-CÁLCULO.TotalAdmLocal)*CRONO!$F22,
                        0),
                 AB21*$S20),
          SUMIF(OFFSET($S22,1,0,$R20-2),($M20+1)&amp;"$",OFFSET(AB22,1,0,$R20-2)))</f>
        <v>0</v>
      </c>
      <c r="AC22" s="443" t="n">
        <f aca="true" t="array" ref="AC22:AC22">IF($R20=2,
         IF(AND(ACOMPANHAMENTO="PLE",ISNUMBER($F20)),
                SUMIF((OFFSET(CÁLCULO!$AM$15:$AW$15,$F20,0,OFFSET(ORÇAMENTO!$D$15,CRONO!$F20,0))),CRONO!AC$12,OFFSET(CÁLCULO!$AB$15:$AL$15,$F20,0,OFFSET(ORÇAMENTO!$D$15,CRONO!$F20,0)))
                +IF(AND($F22&lt;&gt;"",$F22&lt;&gt;0),
                        SUMIF(CÁLCULO!$AM$15:$AW$59,CRONO!AC$12,CÁLCULO!$AB$15:$AL$59)/(ORÇAMENTO!$X$15-CÁLCULO.TotalAdmLocal)*CRONO!$F22,
                        0),
                 AC21*$S20),
          SUMIF(OFFSET($S22,1,0,$R20-2),($M20+1)&amp;"$",OFFSET(AC22,1,0,$R20-2)))</f>
        <v>0</v>
      </c>
      <c r="AD22" s="443" t="n">
        <f aca="true" t="array" ref="AD22:AD22">IF($R20=2,
         IF(AND(ACOMPANHAMENTO="PLE",ISNUMBER($F20)),
                SUMIF((OFFSET(CÁLCULO!$AM$15:$AW$15,$F20,0,OFFSET(ORÇAMENTO!$D$15,CRONO!$F20,0))),CRONO!AD$12,OFFSET(CÁLCULO!$AB$15:$AL$15,$F20,0,OFFSET(ORÇAMENTO!$D$15,CRONO!$F20,0)))
                +IF(AND($F22&lt;&gt;"",$F22&lt;&gt;0),
                        SUMIF(CÁLCULO!$AM$15:$AW$59,CRONO!AD$12,CÁLCULO!$AB$15:$AL$59)/(ORÇAMENTO!$X$15-CÁLCULO.TotalAdmLocal)*CRONO!$F22,
                        0),
                 AD21*$S20),
          SUMIF(OFFSET($S22,1,0,$R20-2),($M20+1)&amp;"$",OFFSET(AD22,1,0,$R20-2)))</f>
        <v>0</v>
      </c>
      <c r="AE22" s="443" t="n">
        <f aca="true" t="array" ref="AE22:AE22">IF($R20=2,
         IF(AND(ACOMPANHAMENTO="PLE",ISNUMBER($F20)),
                SUMIF((OFFSET(CÁLCULO!$AM$15:$AW$15,$F20,0,OFFSET(ORÇAMENTO!$D$15,CRONO!$F20,0))),CRONO!AE$12,OFFSET(CÁLCULO!$AB$15:$AL$15,$F20,0,OFFSET(ORÇAMENTO!$D$15,CRONO!$F20,0)))
                +IF(AND($F22&lt;&gt;"",$F22&lt;&gt;0),
                        SUMIF(CÁLCULO!$AM$15:$AW$59,CRONO!AE$12,CÁLCULO!$AB$15:$AL$59)/(ORÇAMENTO!$X$15-CÁLCULO.TotalAdmLocal)*CRONO!$F22,
                        0),
                 AE21*$S20),
          SUMIF(OFFSET($S22,1,0,$R20-2),($M20+1)&amp;"$",OFFSET(AE22,1,0,$R20-2)))</f>
        <v>0</v>
      </c>
      <c r="AF22" s="443" t="n">
        <f aca="true" t="array" ref="AF22:AF22">IF($R20=2,
         IF(AND(ACOMPANHAMENTO="PLE",ISNUMBER($F20)),
                SUMIF((OFFSET(CÁLCULO!$AM$15:$AW$15,$F20,0,OFFSET(ORÇAMENTO!$D$15,CRONO!$F20,0))),CRONO!AF$12,OFFSET(CÁLCULO!$AB$15:$AL$15,$F20,0,OFFSET(ORÇAMENTO!$D$15,CRONO!$F20,0)))
                +IF(AND($F22&lt;&gt;"",$F22&lt;&gt;0),
                        SUMIF(CÁLCULO!$AM$15:$AW$59,CRONO!AF$12,CÁLCULO!$AB$15:$AL$59)/(ORÇAMENTO!$X$15-CÁLCULO.TotalAdmLocal)*CRONO!$F22,
                        0),
                 AF21*$S20),
          SUMIF(OFFSET($S22,1,0,$R20-2),($M20+1)&amp;"$",OFFSET(AF22,1,0,$R20-2)))</f>
        <v>0</v>
      </c>
      <c r="AG22" s="434"/>
    </row>
    <row r="23" customFormat="false" ht="12.75" hidden="false" customHeight="false" outlineLevel="0" collapsed="false">
      <c r="A23" s="384" t="str">
        <f aca="false">IF($M23&gt;1,_xlfn.CONCAT($I23," ",$J23),"")</f>
        <v>1.3. SERVIÇOS PRELIMINARES</v>
      </c>
      <c r="B23" s="423" t="n">
        <f aca="true">OFFSET(B23,-3,0)+1</f>
        <v>4</v>
      </c>
      <c r="C23" s="423" t="n">
        <f aca="true">IF($R23&lt;&gt;2,0,IF($S23=0,1,IF(F24&gt;0,OFFSET(QCI!$M$13,SUBSTITUTE(F24,".",""),0),OFFSET(ORÇAMENTO!$AA$15,CRONO!$F23,0))/$S23))</f>
        <v>1</v>
      </c>
      <c r="D23" s="423" t="n">
        <f aca="true">IF($R23&lt;&gt;2,0,IF($S23=0,1,IF(F24&gt;0,OFFSET(QCI!$N$13,SUBSTITUTE(F24,".",""),0),OFFSET(ORÇAMENTO!$AB$15,CRONO!$F23,0))/$S23))</f>
        <v>1</v>
      </c>
      <c r="E23" s="426" t="n">
        <f aca="false" t="array" ref="E23:E23">IF(AND($R23=2,ACOMPANHAMENTO="BM"),ROUND(E24,4),E25/$S23)</f>
        <v>0</v>
      </c>
      <c r="F23" s="423" t="n">
        <f aca="true" t="array" ref="F23:F23">IF(B23&lt;=ORÇAMENTO.MáximoListaCrono,MATCH(B23,ORÇAMENTO.ListaCrono,0),NA())</f>
        <v>7</v>
      </c>
      <c r="G23" s="423" t="str">
        <f aca="false">IF(AND($F24&lt;&gt;-1,$S23&gt;0),"F","")</f>
        <v/>
      </c>
      <c r="H23" s="427" t="str">
        <f aca="false" t="array" ref="H23:H23">IF(OR(S23=0,S23=""),"Linha",IF(AND(OR(ACOMPANHAMENTO="PLE",$R23&lt;&gt;2),$F24=0),"Linha",ROUND(1-SUM(U23:AG23),4)))</f>
        <v>Linha</v>
      </c>
      <c r="I23" s="428" t="str">
        <f aca="true">IF($F24=0,OFFSET(ORÇAMENTO!O$15,$F23,0),IF($F24&lt;&gt;-1,OFFSET(QCI!$D$13,$F24,0),""))</f>
        <v>1.3.</v>
      </c>
      <c r="J23" s="429" t="str">
        <f aca="true">IF($F24=0,OFFSET(ORÇAMENTO!R$15,$F23,0),IF($F24&lt;&gt;-1,OFFSET(QCI!$G$13,$F24,0),""))</f>
        <v>SERVIÇOS PRELIMINARES</v>
      </c>
      <c r="K23" s="429"/>
      <c r="L23" s="429"/>
      <c r="M23" s="430" t="n">
        <f aca="true">IF($F24=0,OFFSET(ORÇAMENTO!C$15,$F23,0),1)</f>
        <v>2</v>
      </c>
      <c r="N23" s="431" t="n">
        <f aca="true">IF($F24=-1,0,IF(N$13&lt;=$M23,IF(ISERROR(MATCH(N$13,OFFSET($M23,1,0,ROW($M$50)-ROW($M23)-1),0)),ROW($M$50)-ROW($M23)-1,MATCH(N$13,OFFSET($M23,1,0,ROW($M$50)-ROW($M23)-1),0)-1),0))</f>
        <v>26</v>
      </c>
      <c r="O23" s="431" t="n">
        <f aca="true">IF($F24=-1,0,IF(O$13&lt;=$M23,IF(ISERROR(MATCH(O$13,OFFSET($M23,1,0,ROW($M$50)-ROW($M23)-1),0)),ROW($M$50)-ROW($M23)-1,MATCH(O$13,OFFSET($M23,1,0,ROW($M$50)-ROW($M23)-1),0)-1),0))</f>
        <v>2</v>
      </c>
      <c r="P23" s="431" t="n">
        <f aca="true">IF($F24=-1,0,IF(P$13&lt;=$M23,IF(ISERROR(MATCH(P$13,OFFSET($M23,1,0,ROW($M$50)-ROW($M23)-1),0)),ROW($M$50)-ROW($M23)-1,MATCH(P$13,OFFSET($M23,1,0,ROW($M$50)-ROW($M23)-1),0)-1),0))</f>
        <v>0</v>
      </c>
      <c r="Q23" s="431" t="n">
        <f aca="true">IF($F24=-1,0,IF(Q$13&lt;=$M23,IF(ISERROR(MATCH(Q$13,OFFSET($M23,1,0,ROW($M$50)-ROW($M23)-1),0)),ROW($M$50)-ROW($M23)-1,MATCH(Q$13,OFFSET($M23,1,0,ROW($M$50)-ROW($M23)-1),0)-1),0))</f>
        <v>0</v>
      </c>
      <c r="R23" s="431" t="n">
        <f aca="true">MIN(OFFSET(M23,0,1,,M23))</f>
        <v>2</v>
      </c>
      <c r="S23" s="432" t="n">
        <f aca="true">IF($F24=0,OFFSET(ORÇAMENTO!X$15,$F23,0),IF($F24&lt;&gt;-1,OFFSET(QCI!$O$13,$F24,0),""))</f>
        <v>0</v>
      </c>
      <c r="T23" s="433" t="s">
        <v>924</v>
      </c>
      <c r="U23" s="426" t="n">
        <f aca="false" t="array" ref="U23:U23">IF(AND($R23=2,ACOMPANHAMENTO="BM"),ROUND(U24,4),U25/$S23)</f>
        <v>1</v>
      </c>
      <c r="V23" s="426" t="n">
        <f aca="false" t="array" ref="V23:V23">IF(AND($R23=2,ACOMPANHAMENTO="BM"),ROUND(V24,4),V25/$S23)</f>
        <v>0</v>
      </c>
      <c r="W23" s="426" t="n">
        <f aca="false" t="array" ref="W23:W23">IF(AND($R23=2,ACOMPANHAMENTO="BM"),ROUND(W24,4),W25/$S23)</f>
        <v>0</v>
      </c>
      <c r="X23" s="426" t="n">
        <f aca="false" t="array" ref="X23:X23">IF(AND($R23=2,ACOMPANHAMENTO="BM"),ROUND(X24,4),X25/$S23)</f>
        <v>0</v>
      </c>
      <c r="Y23" s="426" t="n">
        <f aca="false" t="array" ref="Y23:Y23">IF(AND($R23=2,ACOMPANHAMENTO="BM"),ROUND(Y24,4),Y25/$S23)</f>
        <v>0</v>
      </c>
      <c r="Z23" s="426" t="n">
        <f aca="false" t="array" ref="Z23:Z23">IF(AND($R23=2,ACOMPANHAMENTO="BM"),ROUND(Z24,4),Z25/$S23)</f>
        <v>0</v>
      </c>
      <c r="AA23" s="426" t="n">
        <f aca="false" t="array" ref="AA23:AA23">IF(AND($R23=2,ACOMPANHAMENTO="BM"),ROUND(AA24,4),AA25/$S23)</f>
        <v>0</v>
      </c>
      <c r="AB23" s="426" t="n">
        <f aca="false" t="array" ref="AB23:AB23">IF(AND($R23=2,ACOMPANHAMENTO="BM"),ROUND(AB24,4),AB25/$S23)</f>
        <v>0</v>
      </c>
      <c r="AC23" s="426" t="n">
        <f aca="false" t="array" ref="AC23:AC23">IF(AND($R23=2,ACOMPANHAMENTO="BM"),ROUND(AC24,4),AC25/$S23)</f>
        <v>0</v>
      </c>
      <c r="AD23" s="426" t="n">
        <f aca="false" t="array" ref="AD23:AD23">IF(AND($R23=2,ACOMPANHAMENTO="BM"),ROUND(AD24,4),AD25/$S23)</f>
        <v>0</v>
      </c>
      <c r="AE23" s="426" t="n">
        <f aca="false" t="array" ref="AE23:AE23">IF(AND($R23=2,ACOMPANHAMENTO="BM"),ROUND(AE24,4),AE25/$S23)</f>
        <v>0</v>
      </c>
      <c r="AF23" s="426" t="n">
        <f aca="false" t="array" ref="AF23:AF23">IF(AND($R23=2,ACOMPANHAMENTO="BM"),ROUND(AF24,4),AF25/$S23)</f>
        <v>0</v>
      </c>
      <c r="AG23" s="434"/>
    </row>
    <row r="24" customFormat="false" ht="12.75" hidden="false" customHeight="true" outlineLevel="0" collapsed="false">
      <c r="E24" s="435"/>
      <c r="F24" s="423" t="n">
        <f aca="true">IF(ISERROR(F23),IF(1+COUNTIF($M$13:OFFSET(M23,-1,0),1)&lt;=MAX(QCI!$D$13:$D$24),1+COUNTIF($M$13:OFFSET(M23,-1,0),1),-1),0)</f>
        <v>0</v>
      </c>
      <c r="G24" s="423" t="str">
        <f aca="true" t="array" ref="G24:G24">IF(ACOMPANHAMENTO="BM",OFFSET(G24,-1,0),"")</f>
        <v/>
      </c>
      <c r="H24" s="436" t="str">
        <f aca="false" t="array" ref="H24:H24">IF(OR(S23=0,S23=""),"vazia",IF(AND(OR(ACOMPANHAMENTO="PLE",$R23&lt;&gt;2),$F24=0),"calculada","--&gt;"))</f>
        <v>vazia</v>
      </c>
      <c r="I24" s="437"/>
      <c r="J24" s="438" t="str">
        <f aca="false">IF(AND(H23&lt;&gt;0,ISNUMBER(H23)),"PREENCHA ESTA LINHA --&gt;","")</f>
        <v/>
      </c>
      <c r="K24" s="438"/>
      <c r="L24" s="438"/>
      <c r="M24" s="439"/>
      <c r="N24" s="439"/>
      <c r="O24" s="439"/>
      <c r="P24" s="439"/>
      <c r="Q24" s="439"/>
      <c r="R24" s="439"/>
      <c r="S24" s="440"/>
      <c r="T24" s="441"/>
      <c r="U24" s="435" t="n">
        <v>1</v>
      </c>
      <c r="V24" s="435"/>
      <c r="W24" s="435"/>
      <c r="X24" s="435"/>
      <c r="Y24" s="435"/>
      <c r="Z24" s="435"/>
      <c r="AA24" s="435"/>
      <c r="AB24" s="435"/>
      <c r="AC24" s="435"/>
      <c r="AD24" s="435"/>
      <c r="AE24" s="435"/>
      <c r="AF24" s="435"/>
      <c r="AG24" s="434"/>
    </row>
    <row r="25" customFormat="false" ht="12.75" hidden="true" customHeight="true" outlineLevel="0" collapsed="false">
      <c r="D25" s="442"/>
      <c r="E25" s="443" t="n">
        <f aca="true" t="array" ref="E25:E25">IF($R23=2,
         IF(AND(ACOMPANHAMENTO="PLE",ISNUMBER($F23)),
                SUMIF((OFFSET(CÁLCULO!$AM$15:$AW$15,$F23,0,OFFSET(ORÇAMENTO!$D$15,CRONO!$F23,0))),CRONO!E$12,OFFSET(CÁLCULO!$AB$15:$AL$15,$F23,0,OFFSET(ORÇAMENTO!$D$15,CRONO!$F23,0)))
                +IF(AND($F25&lt;&gt;"",$F25&lt;&gt;0),
                        SUMIF(CÁLCULO!$AM$15:$AW$59,CRONO!E$12,CÁLCULO!$AB$15:$AL$59)/(ORÇAMENTO!$X$15-CÁLCULO.TotalAdmLocal)*CRONO!$F25,
                        0),
                 E24*$S23),
          SUMIF(OFFSET($S25,1,0,$R23-2),($M23+1)&amp;"$",OFFSET(E25,1,0,$R23-2)))</f>
        <v>0</v>
      </c>
      <c r="F25" s="423" t="str">
        <f aca="true">IF(OR($R23&lt;&gt;2,AUTOEVENTO&lt;&gt;"manual",$F24&gt;0),"",
        IF(Import.TipoArredondamento="Tradicional",
              SUMIF(OFFSET(CÁLCULO!$M$15,CRONO!$F23,0,OFFSET(ORÇAMENTO!$D$15,CRONO!$F23,0)),1,OFFSET(ORÇAMENTO!$X$15,CRONO!$F23,0,OFFSET(ORÇAMENTO!$D$15,CRONO!$F23,0))),
              0))</f>
        <v/>
      </c>
      <c r="H25" s="444"/>
      <c r="S25" s="445" t="str">
        <f aca="false">M23&amp;"$"</f>
        <v>2$</v>
      </c>
      <c r="T25" s="446"/>
      <c r="U25" s="443" t="n">
        <f aca="true" t="array" ref="U25:U25">IF($R23=2,
         IF(AND(ACOMPANHAMENTO="PLE",ISNUMBER($F23)),
                SUMIF((OFFSET(CÁLCULO!$AM$15:$AW$15,$F23,0,OFFSET(ORÇAMENTO!$D$15,CRONO!$F23,0))),CRONO!U$12,OFFSET(CÁLCULO!$AB$15:$AL$15,$F23,0,OFFSET(ORÇAMENTO!$D$15,CRONO!$F23,0)))
                +IF(AND($F25&lt;&gt;"",$F25&lt;&gt;0),
                        SUMIF(CÁLCULO!$AM$15:$AW$59,CRONO!U$12,CÁLCULO!$AB$15:$AL$59)/(ORÇAMENTO!$X$15-CÁLCULO.TotalAdmLocal)*CRONO!$F25,
                        0),
                 U24*$S23),
          SUMIF(OFFSET($S25,1,0,$R23-2),($M23+1)&amp;"$",OFFSET(U25,1,0,$R23-2)))</f>
        <v>0</v>
      </c>
      <c r="V25" s="443" t="n">
        <f aca="true" t="array" ref="V25:V25">IF($R23=2,
         IF(AND(ACOMPANHAMENTO="PLE",ISNUMBER($F23)),
                SUMIF((OFFSET(CÁLCULO!$AM$15:$AW$15,$F23,0,OFFSET(ORÇAMENTO!$D$15,CRONO!$F23,0))),CRONO!V$12,OFFSET(CÁLCULO!$AB$15:$AL$15,$F23,0,OFFSET(ORÇAMENTO!$D$15,CRONO!$F23,0)))
                +IF(AND($F25&lt;&gt;"",$F25&lt;&gt;0),
                        SUMIF(CÁLCULO!$AM$15:$AW$59,CRONO!V$12,CÁLCULO!$AB$15:$AL$59)/(ORÇAMENTO!$X$15-CÁLCULO.TotalAdmLocal)*CRONO!$F25,
                        0),
                 V24*$S23),
          SUMIF(OFFSET($S25,1,0,$R23-2),($M23+1)&amp;"$",OFFSET(V25,1,0,$R23-2)))</f>
        <v>0</v>
      </c>
      <c r="W25" s="443" t="n">
        <f aca="true" t="array" ref="W25:W25">IF($R23=2,
         IF(AND(ACOMPANHAMENTO="PLE",ISNUMBER($F23)),
                SUMIF((OFFSET(CÁLCULO!$AM$15:$AW$15,$F23,0,OFFSET(ORÇAMENTO!$D$15,CRONO!$F23,0))),CRONO!W$12,OFFSET(CÁLCULO!$AB$15:$AL$15,$F23,0,OFFSET(ORÇAMENTO!$D$15,CRONO!$F23,0)))
                +IF(AND($F25&lt;&gt;"",$F25&lt;&gt;0),
                        SUMIF(CÁLCULO!$AM$15:$AW$59,CRONO!W$12,CÁLCULO!$AB$15:$AL$59)/(ORÇAMENTO!$X$15-CÁLCULO.TotalAdmLocal)*CRONO!$F25,
                        0),
                 W24*$S23),
          SUMIF(OFFSET($S25,1,0,$R23-2),($M23+1)&amp;"$",OFFSET(W25,1,0,$R23-2)))</f>
        <v>0</v>
      </c>
      <c r="X25" s="443" t="n">
        <f aca="true" t="array" ref="X25:X25">IF($R23=2,
         IF(AND(ACOMPANHAMENTO="PLE",ISNUMBER($F23)),
                SUMIF((OFFSET(CÁLCULO!$AM$15:$AW$15,$F23,0,OFFSET(ORÇAMENTO!$D$15,CRONO!$F23,0))),CRONO!X$12,OFFSET(CÁLCULO!$AB$15:$AL$15,$F23,0,OFFSET(ORÇAMENTO!$D$15,CRONO!$F23,0)))
                +IF(AND($F25&lt;&gt;"",$F25&lt;&gt;0),
                        SUMIF(CÁLCULO!$AM$15:$AW$59,CRONO!X$12,CÁLCULO!$AB$15:$AL$59)/(ORÇAMENTO!$X$15-CÁLCULO.TotalAdmLocal)*CRONO!$F25,
                        0),
                 X24*$S23),
          SUMIF(OFFSET($S25,1,0,$R23-2),($M23+1)&amp;"$",OFFSET(X25,1,0,$R23-2)))</f>
        <v>0</v>
      </c>
      <c r="Y25" s="443" t="n">
        <f aca="true" t="array" ref="Y25:Y25">IF($R23=2,
         IF(AND(ACOMPANHAMENTO="PLE",ISNUMBER($F23)),
                SUMIF((OFFSET(CÁLCULO!$AM$15:$AW$15,$F23,0,OFFSET(ORÇAMENTO!$D$15,CRONO!$F23,0))),CRONO!Y$12,OFFSET(CÁLCULO!$AB$15:$AL$15,$F23,0,OFFSET(ORÇAMENTO!$D$15,CRONO!$F23,0)))
                +IF(AND($F25&lt;&gt;"",$F25&lt;&gt;0),
                        SUMIF(CÁLCULO!$AM$15:$AW$59,CRONO!Y$12,CÁLCULO!$AB$15:$AL$59)/(ORÇAMENTO!$X$15-CÁLCULO.TotalAdmLocal)*CRONO!$F25,
                        0),
                 Y24*$S23),
          SUMIF(OFFSET($S25,1,0,$R23-2),($M23+1)&amp;"$",OFFSET(Y25,1,0,$R23-2)))</f>
        <v>0</v>
      </c>
      <c r="Z25" s="443" t="n">
        <f aca="true" t="array" ref="Z25:Z25">IF($R23=2,
         IF(AND(ACOMPANHAMENTO="PLE",ISNUMBER($F23)),
                SUMIF((OFFSET(CÁLCULO!$AM$15:$AW$15,$F23,0,OFFSET(ORÇAMENTO!$D$15,CRONO!$F23,0))),CRONO!Z$12,OFFSET(CÁLCULO!$AB$15:$AL$15,$F23,0,OFFSET(ORÇAMENTO!$D$15,CRONO!$F23,0)))
                +IF(AND($F25&lt;&gt;"",$F25&lt;&gt;0),
                        SUMIF(CÁLCULO!$AM$15:$AW$59,CRONO!Z$12,CÁLCULO!$AB$15:$AL$59)/(ORÇAMENTO!$X$15-CÁLCULO.TotalAdmLocal)*CRONO!$F25,
                        0),
                 Z24*$S23),
          SUMIF(OFFSET($S25,1,0,$R23-2),($M23+1)&amp;"$",OFFSET(Z25,1,0,$R23-2)))</f>
        <v>0</v>
      </c>
      <c r="AA25" s="443" t="n">
        <f aca="true" t="array" ref="AA25:AA25">IF($R23=2,
         IF(AND(ACOMPANHAMENTO="PLE",ISNUMBER($F23)),
                SUMIF((OFFSET(CÁLCULO!$AM$15:$AW$15,$F23,0,OFFSET(ORÇAMENTO!$D$15,CRONO!$F23,0))),CRONO!AA$12,OFFSET(CÁLCULO!$AB$15:$AL$15,$F23,0,OFFSET(ORÇAMENTO!$D$15,CRONO!$F23,0)))
                +IF(AND($F25&lt;&gt;"",$F25&lt;&gt;0),
                        SUMIF(CÁLCULO!$AM$15:$AW$59,CRONO!AA$12,CÁLCULO!$AB$15:$AL$59)/(ORÇAMENTO!$X$15-CÁLCULO.TotalAdmLocal)*CRONO!$F25,
                        0),
                 AA24*$S23),
          SUMIF(OFFSET($S25,1,0,$R23-2),($M23+1)&amp;"$",OFFSET(AA25,1,0,$R23-2)))</f>
        <v>0</v>
      </c>
      <c r="AB25" s="443" t="n">
        <f aca="true" t="array" ref="AB25:AB25">IF($R23=2,
         IF(AND(ACOMPANHAMENTO="PLE",ISNUMBER($F23)),
                SUMIF((OFFSET(CÁLCULO!$AM$15:$AW$15,$F23,0,OFFSET(ORÇAMENTO!$D$15,CRONO!$F23,0))),CRONO!AB$12,OFFSET(CÁLCULO!$AB$15:$AL$15,$F23,0,OFFSET(ORÇAMENTO!$D$15,CRONO!$F23,0)))
                +IF(AND($F25&lt;&gt;"",$F25&lt;&gt;0),
                        SUMIF(CÁLCULO!$AM$15:$AW$59,CRONO!AB$12,CÁLCULO!$AB$15:$AL$59)/(ORÇAMENTO!$X$15-CÁLCULO.TotalAdmLocal)*CRONO!$F25,
                        0),
                 AB24*$S23),
          SUMIF(OFFSET($S25,1,0,$R23-2),($M23+1)&amp;"$",OFFSET(AB25,1,0,$R23-2)))</f>
        <v>0</v>
      </c>
      <c r="AC25" s="443" t="n">
        <f aca="true" t="array" ref="AC25:AC25">IF($R23=2,
         IF(AND(ACOMPANHAMENTO="PLE",ISNUMBER($F23)),
                SUMIF((OFFSET(CÁLCULO!$AM$15:$AW$15,$F23,0,OFFSET(ORÇAMENTO!$D$15,CRONO!$F23,0))),CRONO!AC$12,OFFSET(CÁLCULO!$AB$15:$AL$15,$F23,0,OFFSET(ORÇAMENTO!$D$15,CRONO!$F23,0)))
                +IF(AND($F25&lt;&gt;"",$F25&lt;&gt;0),
                        SUMIF(CÁLCULO!$AM$15:$AW$59,CRONO!AC$12,CÁLCULO!$AB$15:$AL$59)/(ORÇAMENTO!$X$15-CÁLCULO.TotalAdmLocal)*CRONO!$F25,
                        0),
                 AC24*$S23),
          SUMIF(OFFSET($S25,1,0,$R23-2),($M23+1)&amp;"$",OFFSET(AC25,1,0,$R23-2)))</f>
        <v>0</v>
      </c>
      <c r="AD25" s="443" t="n">
        <f aca="true" t="array" ref="AD25:AD25">IF($R23=2,
         IF(AND(ACOMPANHAMENTO="PLE",ISNUMBER($F23)),
                SUMIF((OFFSET(CÁLCULO!$AM$15:$AW$15,$F23,0,OFFSET(ORÇAMENTO!$D$15,CRONO!$F23,0))),CRONO!AD$12,OFFSET(CÁLCULO!$AB$15:$AL$15,$F23,0,OFFSET(ORÇAMENTO!$D$15,CRONO!$F23,0)))
                +IF(AND($F25&lt;&gt;"",$F25&lt;&gt;0),
                        SUMIF(CÁLCULO!$AM$15:$AW$59,CRONO!AD$12,CÁLCULO!$AB$15:$AL$59)/(ORÇAMENTO!$X$15-CÁLCULO.TotalAdmLocal)*CRONO!$F25,
                        0),
                 AD24*$S23),
          SUMIF(OFFSET($S25,1,0,$R23-2),($M23+1)&amp;"$",OFFSET(AD25,1,0,$R23-2)))</f>
        <v>0</v>
      </c>
      <c r="AE25" s="443" t="n">
        <f aca="true" t="array" ref="AE25:AE25">IF($R23=2,
         IF(AND(ACOMPANHAMENTO="PLE",ISNUMBER($F23)),
                SUMIF((OFFSET(CÁLCULO!$AM$15:$AW$15,$F23,0,OFFSET(ORÇAMENTO!$D$15,CRONO!$F23,0))),CRONO!AE$12,OFFSET(CÁLCULO!$AB$15:$AL$15,$F23,0,OFFSET(ORÇAMENTO!$D$15,CRONO!$F23,0)))
                +IF(AND($F25&lt;&gt;"",$F25&lt;&gt;0),
                        SUMIF(CÁLCULO!$AM$15:$AW$59,CRONO!AE$12,CÁLCULO!$AB$15:$AL$59)/(ORÇAMENTO!$X$15-CÁLCULO.TotalAdmLocal)*CRONO!$F25,
                        0),
                 AE24*$S23),
          SUMIF(OFFSET($S25,1,0,$R23-2),($M23+1)&amp;"$",OFFSET(AE25,1,0,$R23-2)))</f>
        <v>0</v>
      </c>
      <c r="AF25" s="443" t="n">
        <f aca="true" t="array" ref="AF25:AF25">IF($R23=2,
         IF(AND(ACOMPANHAMENTO="PLE",ISNUMBER($F23)),
                SUMIF((OFFSET(CÁLCULO!$AM$15:$AW$15,$F23,0,OFFSET(ORÇAMENTO!$D$15,CRONO!$F23,0))),CRONO!AF$12,OFFSET(CÁLCULO!$AB$15:$AL$15,$F23,0,OFFSET(ORÇAMENTO!$D$15,CRONO!$F23,0)))
                +IF(AND($F25&lt;&gt;"",$F25&lt;&gt;0),
                        SUMIF(CÁLCULO!$AM$15:$AW$59,CRONO!AF$12,CÁLCULO!$AB$15:$AL$59)/(ORÇAMENTO!$X$15-CÁLCULO.TotalAdmLocal)*CRONO!$F25,
                        0),
                 AF24*$S23),
          SUMIF(OFFSET($S25,1,0,$R23-2),($M23+1)&amp;"$",OFFSET(AF25,1,0,$R23-2)))</f>
        <v>0</v>
      </c>
      <c r="AG25" s="434"/>
    </row>
    <row r="26" customFormat="false" ht="12.75" hidden="false" customHeight="false" outlineLevel="0" collapsed="false">
      <c r="A26" s="384" t="str">
        <f aca="false">IF($M26&gt;1,_xlfn.CONCAT($I26," ",$J26),"")</f>
        <v>1.4. REMOÇAO/DEMOLIÇÃO PASSEIO E MEIO FIO EXISTENTE</v>
      </c>
      <c r="B26" s="423" t="n">
        <f aca="true">OFFSET(B26,-3,0)+1</f>
        <v>5</v>
      </c>
      <c r="C26" s="423" t="n">
        <f aca="true">IF($R26&lt;&gt;2,0,IF($S26=0,1,IF(F27&gt;0,OFFSET(QCI!$M$13,SUBSTITUTE(F27,".",""),0),OFFSET(ORÇAMENTO!$AA$15,CRONO!$F26,0))/$S26))</f>
        <v>1</v>
      </c>
      <c r="D26" s="423" t="n">
        <f aca="true">IF($R26&lt;&gt;2,0,IF($S26=0,1,IF(F27&gt;0,OFFSET(QCI!$N$13,SUBSTITUTE(F27,".",""),0),OFFSET(ORÇAMENTO!$AB$15,CRONO!$F26,0))/$S26))</f>
        <v>1</v>
      </c>
      <c r="E26" s="426" t="n">
        <f aca="false" t="array" ref="E26:E26">IF(AND($R26=2,ACOMPANHAMENTO="BM"),ROUND(E27,4),E28/$S26)</f>
        <v>0</v>
      </c>
      <c r="F26" s="423" t="n">
        <f aca="true" t="array" ref="F26:F26">IF(B26&lt;=ORÇAMENTO.MáximoListaCrono,MATCH(B26,ORÇAMENTO.ListaCrono,0),NA())</f>
        <v>11</v>
      </c>
      <c r="G26" s="423" t="str">
        <f aca="false">IF(AND($F27&lt;&gt;-1,$S26&gt;0),"F","")</f>
        <v/>
      </c>
      <c r="H26" s="427" t="str">
        <f aca="false" t="array" ref="H26:H26">IF(OR(S26=0,S26=""),"Linha",IF(AND(OR(ACOMPANHAMENTO="PLE",$R26&lt;&gt;2),$F27=0),"Linha",ROUND(1-SUM(U26:AG26),4)))</f>
        <v>Linha</v>
      </c>
      <c r="I26" s="428" t="str">
        <f aca="true">IF($F27=0,OFFSET(ORÇAMENTO!O$15,$F26,0),IF($F27&lt;&gt;-1,OFFSET(QCI!$D$13,$F27,0),""))</f>
        <v>1.4.</v>
      </c>
      <c r="J26" s="429" t="str">
        <f aca="true">IF($F27=0,OFFSET(ORÇAMENTO!R$15,$F26,0),IF($F27&lt;&gt;-1,OFFSET(QCI!$G$13,$F27,0),""))</f>
        <v>REMOÇAO/DEMOLIÇÃO PASSEIO E MEIO FIO EXISTENTE</v>
      </c>
      <c r="K26" s="429"/>
      <c r="L26" s="429"/>
      <c r="M26" s="430" t="n">
        <f aca="true">IF($F27=0,OFFSET(ORÇAMENTO!C$15,$F26,0),1)</f>
        <v>2</v>
      </c>
      <c r="N26" s="431" t="n">
        <f aca="true">IF($F27=-1,0,IF(N$13&lt;=$M26,IF(ISERROR(MATCH(N$13,OFFSET($M26,1,0,ROW($M$50)-ROW($M26)-1),0)),ROW($M$50)-ROW($M26)-1,MATCH(N$13,OFFSET($M26,1,0,ROW($M$50)-ROW($M26)-1),0)-1),0))</f>
        <v>23</v>
      </c>
      <c r="O26" s="431" t="n">
        <f aca="true">IF($F27=-1,0,IF(O$13&lt;=$M26,IF(ISERROR(MATCH(O$13,OFFSET($M26,1,0,ROW($M$50)-ROW($M26)-1),0)),ROW($M$50)-ROW($M26)-1,MATCH(O$13,OFFSET($M26,1,0,ROW($M$50)-ROW($M26)-1),0)-1),0))</f>
        <v>2</v>
      </c>
      <c r="P26" s="431" t="n">
        <f aca="true">IF($F27=-1,0,IF(P$13&lt;=$M26,IF(ISERROR(MATCH(P$13,OFFSET($M26,1,0,ROW($M$50)-ROW($M26)-1),0)),ROW($M$50)-ROW($M26)-1,MATCH(P$13,OFFSET($M26,1,0,ROW($M$50)-ROW($M26)-1),0)-1),0))</f>
        <v>0</v>
      </c>
      <c r="Q26" s="431" t="n">
        <f aca="true">IF($F27=-1,0,IF(Q$13&lt;=$M26,IF(ISERROR(MATCH(Q$13,OFFSET($M26,1,0,ROW($M$50)-ROW($M26)-1),0)),ROW($M$50)-ROW($M26)-1,MATCH(Q$13,OFFSET($M26,1,0,ROW($M$50)-ROW($M26)-1),0)-1),0))</f>
        <v>0</v>
      </c>
      <c r="R26" s="431" t="n">
        <f aca="true">MIN(OFFSET(M26,0,1,,M26))</f>
        <v>2</v>
      </c>
      <c r="S26" s="432" t="n">
        <f aca="true">IF($F27=0,OFFSET(ORÇAMENTO!X$15,$F26,0),IF($F27&lt;&gt;-1,OFFSET(QCI!$O$13,$F27,0),""))</f>
        <v>0</v>
      </c>
      <c r="T26" s="433" t="s">
        <v>924</v>
      </c>
      <c r="U26" s="426" t="n">
        <f aca="false" t="array" ref="U26:U26">IF(AND($R26=2,ACOMPANHAMENTO="BM"),ROUND(U27,4),U28/$S26)</f>
        <v>1</v>
      </c>
      <c r="V26" s="426" t="n">
        <f aca="false" t="array" ref="V26:V26">IF(AND($R26=2,ACOMPANHAMENTO="BM"),ROUND(V27,4),V28/$S26)</f>
        <v>0</v>
      </c>
      <c r="W26" s="426" t="n">
        <f aca="false" t="array" ref="W26:W26">IF(AND($R26=2,ACOMPANHAMENTO="BM"),ROUND(W27,4),W28/$S26)</f>
        <v>0</v>
      </c>
      <c r="X26" s="426" t="n">
        <f aca="false" t="array" ref="X26:X26">IF(AND($R26=2,ACOMPANHAMENTO="BM"),ROUND(X27,4),X28/$S26)</f>
        <v>0</v>
      </c>
      <c r="Y26" s="426" t="n">
        <f aca="false" t="array" ref="Y26:Y26">IF(AND($R26=2,ACOMPANHAMENTO="BM"),ROUND(Y27,4),Y28/$S26)</f>
        <v>0</v>
      </c>
      <c r="Z26" s="426" t="n">
        <f aca="false" t="array" ref="Z26:Z26">IF(AND($R26=2,ACOMPANHAMENTO="BM"),ROUND(Z27,4),Z28/$S26)</f>
        <v>0</v>
      </c>
      <c r="AA26" s="426" t="n">
        <f aca="false" t="array" ref="AA26:AA26">IF(AND($R26=2,ACOMPANHAMENTO="BM"),ROUND(AA27,4),AA28/$S26)</f>
        <v>0</v>
      </c>
      <c r="AB26" s="426" t="n">
        <f aca="false" t="array" ref="AB26:AB26">IF(AND($R26=2,ACOMPANHAMENTO="BM"),ROUND(AB27,4),AB28/$S26)</f>
        <v>0</v>
      </c>
      <c r="AC26" s="426" t="n">
        <f aca="false" t="array" ref="AC26:AC26">IF(AND($R26=2,ACOMPANHAMENTO="BM"),ROUND(AC27,4),AC28/$S26)</f>
        <v>0</v>
      </c>
      <c r="AD26" s="426" t="n">
        <f aca="false" t="array" ref="AD26:AD26">IF(AND($R26=2,ACOMPANHAMENTO="BM"),ROUND(AD27,4),AD28/$S26)</f>
        <v>0</v>
      </c>
      <c r="AE26" s="426" t="n">
        <f aca="false" t="array" ref="AE26:AE26">IF(AND($R26=2,ACOMPANHAMENTO="BM"),ROUND(AE27,4),AE28/$S26)</f>
        <v>0</v>
      </c>
      <c r="AF26" s="426" t="n">
        <f aca="false" t="array" ref="AF26:AF26">IF(AND($R26=2,ACOMPANHAMENTO="BM"),ROUND(AF27,4),AF28/$S26)</f>
        <v>0</v>
      </c>
      <c r="AG26" s="434"/>
    </row>
    <row r="27" customFormat="false" ht="12.75" hidden="false" customHeight="true" outlineLevel="0" collapsed="false">
      <c r="E27" s="435"/>
      <c r="F27" s="423" t="n">
        <f aca="true">IF(ISERROR(F26),IF(1+COUNTIF($M$13:OFFSET(M26,-1,0),1)&lt;=MAX(QCI!$D$13:$D$24),1+COUNTIF($M$13:OFFSET(M26,-1,0),1),-1),0)</f>
        <v>0</v>
      </c>
      <c r="G27" s="423" t="str">
        <f aca="true" t="array" ref="G27:G27">IF(ACOMPANHAMENTO="BM",OFFSET(G27,-1,0),"")</f>
        <v/>
      </c>
      <c r="H27" s="436" t="str">
        <f aca="false" t="array" ref="H27:H27">IF(OR(S26=0,S26=""),"vazia",IF(AND(OR(ACOMPANHAMENTO="PLE",$R26&lt;&gt;2),$F27=0),"calculada","--&gt;"))</f>
        <v>vazia</v>
      </c>
      <c r="I27" s="437"/>
      <c r="J27" s="438" t="str">
        <f aca="false">IF(AND(H26&lt;&gt;0,ISNUMBER(H26)),"PREENCHA ESTA LINHA --&gt;","")</f>
        <v/>
      </c>
      <c r="K27" s="438"/>
      <c r="L27" s="438"/>
      <c r="M27" s="439"/>
      <c r="N27" s="439"/>
      <c r="O27" s="439"/>
      <c r="P27" s="439"/>
      <c r="Q27" s="439"/>
      <c r="R27" s="439"/>
      <c r="S27" s="440"/>
      <c r="T27" s="441"/>
      <c r="U27" s="435" t="n">
        <v>1</v>
      </c>
      <c r="V27" s="435"/>
      <c r="W27" s="435"/>
      <c r="X27" s="435"/>
      <c r="Y27" s="435"/>
      <c r="Z27" s="435"/>
      <c r="AA27" s="435"/>
      <c r="AB27" s="435"/>
      <c r="AC27" s="435"/>
      <c r="AD27" s="435"/>
      <c r="AE27" s="435"/>
      <c r="AF27" s="435"/>
      <c r="AG27" s="434"/>
    </row>
    <row r="28" customFormat="false" ht="12.75" hidden="true" customHeight="true" outlineLevel="0" collapsed="false">
      <c r="D28" s="442"/>
      <c r="E28" s="443" t="n">
        <f aca="true" t="array" ref="E28:E28">IF($R26=2,
         IF(AND(ACOMPANHAMENTO="PLE",ISNUMBER($F26)),
                SUMIF((OFFSET(CÁLCULO!$AM$15:$AW$15,$F26,0,OFFSET(ORÇAMENTO!$D$15,CRONO!$F26,0))),CRONO!E$12,OFFSET(CÁLCULO!$AB$15:$AL$15,$F26,0,OFFSET(ORÇAMENTO!$D$15,CRONO!$F26,0)))
                +IF(AND($F28&lt;&gt;"",$F28&lt;&gt;0),
                        SUMIF(CÁLCULO!$AM$15:$AW$59,CRONO!E$12,CÁLCULO!$AB$15:$AL$59)/(ORÇAMENTO!$X$15-CÁLCULO.TotalAdmLocal)*CRONO!$F28,
                        0),
                 E27*$S26),
          SUMIF(OFFSET($S28,1,0,$R26-2),($M26+1)&amp;"$",OFFSET(E28,1,0,$R26-2)))</f>
        <v>0</v>
      </c>
      <c r="F28" s="423" t="str">
        <f aca="true">IF(OR($R26&lt;&gt;2,AUTOEVENTO&lt;&gt;"manual",$F27&gt;0),"",
        IF(Import.TipoArredondamento="Tradicional",
              SUMIF(OFFSET(CÁLCULO!$M$15,CRONO!$F26,0,OFFSET(ORÇAMENTO!$D$15,CRONO!$F26,0)),1,OFFSET(ORÇAMENTO!$X$15,CRONO!$F26,0,OFFSET(ORÇAMENTO!$D$15,CRONO!$F26,0))),
              0))</f>
        <v/>
      </c>
      <c r="H28" s="444"/>
      <c r="S28" s="445" t="str">
        <f aca="false">M26&amp;"$"</f>
        <v>2$</v>
      </c>
      <c r="T28" s="446"/>
      <c r="U28" s="443" t="n">
        <f aca="true" t="array" ref="U28:U28">IF($R26=2,
         IF(AND(ACOMPANHAMENTO="PLE",ISNUMBER($F26)),
                SUMIF((OFFSET(CÁLCULO!$AM$15:$AW$15,$F26,0,OFFSET(ORÇAMENTO!$D$15,CRONO!$F26,0))),CRONO!U$12,OFFSET(CÁLCULO!$AB$15:$AL$15,$F26,0,OFFSET(ORÇAMENTO!$D$15,CRONO!$F26,0)))
                +IF(AND($F28&lt;&gt;"",$F28&lt;&gt;0),
                        SUMIF(CÁLCULO!$AM$15:$AW$59,CRONO!U$12,CÁLCULO!$AB$15:$AL$59)/(ORÇAMENTO!$X$15-CÁLCULO.TotalAdmLocal)*CRONO!$F28,
                        0),
                 U27*$S26),
          SUMIF(OFFSET($S28,1,0,$R26-2),($M26+1)&amp;"$",OFFSET(U28,1,0,$R26-2)))</f>
        <v>0</v>
      </c>
      <c r="V28" s="443" t="n">
        <f aca="true" t="array" ref="V28:V28">IF($R26=2,
         IF(AND(ACOMPANHAMENTO="PLE",ISNUMBER($F26)),
                SUMIF((OFFSET(CÁLCULO!$AM$15:$AW$15,$F26,0,OFFSET(ORÇAMENTO!$D$15,CRONO!$F26,0))),CRONO!V$12,OFFSET(CÁLCULO!$AB$15:$AL$15,$F26,0,OFFSET(ORÇAMENTO!$D$15,CRONO!$F26,0)))
                +IF(AND($F28&lt;&gt;"",$F28&lt;&gt;0),
                        SUMIF(CÁLCULO!$AM$15:$AW$59,CRONO!V$12,CÁLCULO!$AB$15:$AL$59)/(ORÇAMENTO!$X$15-CÁLCULO.TotalAdmLocal)*CRONO!$F28,
                        0),
                 V27*$S26),
          SUMIF(OFFSET($S28,1,0,$R26-2),($M26+1)&amp;"$",OFFSET(V28,1,0,$R26-2)))</f>
        <v>0</v>
      </c>
      <c r="W28" s="443" t="n">
        <f aca="true" t="array" ref="W28:W28">IF($R26=2,
         IF(AND(ACOMPANHAMENTO="PLE",ISNUMBER($F26)),
                SUMIF((OFFSET(CÁLCULO!$AM$15:$AW$15,$F26,0,OFFSET(ORÇAMENTO!$D$15,CRONO!$F26,0))),CRONO!W$12,OFFSET(CÁLCULO!$AB$15:$AL$15,$F26,0,OFFSET(ORÇAMENTO!$D$15,CRONO!$F26,0)))
                +IF(AND($F28&lt;&gt;"",$F28&lt;&gt;0),
                        SUMIF(CÁLCULO!$AM$15:$AW$59,CRONO!W$12,CÁLCULO!$AB$15:$AL$59)/(ORÇAMENTO!$X$15-CÁLCULO.TotalAdmLocal)*CRONO!$F28,
                        0),
                 W27*$S26),
          SUMIF(OFFSET($S28,1,0,$R26-2),($M26+1)&amp;"$",OFFSET(W28,1,0,$R26-2)))</f>
        <v>0</v>
      </c>
      <c r="X28" s="443" t="n">
        <f aca="true" t="array" ref="X28:X28">IF($R26=2,
         IF(AND(ACOMPANHAMENTO="PLE",ISNUMBER($F26)),
                SUMIF((OFFSET(CÁLCULO!$AM$15:$AW$15,$F26,0,OFFSET(ORÇAMENTO!$D$15,CRONO!$F26,0))),CRONO!X$12,OFFSET(CÁLCULO!$AB$15:$AL$15,$F26,0,OFFSET(ORÇAMENTO!$D$15,CRONO!$F26,0)))
                +IF(AND($F28&lt;&gt;"",$F28&lt;&gt;0),
                        SUMIF(CÁLCULO!$AM$15:$AW$59,CRONO!X$12,CÁLCULO!$AB$15:$AL$59)/(ORÇAMENTO!$X$15-CÁLCULO.TotalAdmLocal)*CRONO!$F28,
                        0),
                 X27*$S26),
          SUMIF(OFFSET($S28,1,0,$R26-2),($M26+1)&amp;"$",OFFSET(X28,1,0,$R26-2)))</f>
        <v>0</v>
      </c>
      <c r="Y28" s="443" t="n">
        <f aca="true" t="array" ref="Y28:Y28">IF($R26=2,
         IF(AND(ACOMPANHAMENTO="PLE",ISNUMBER($F26)),
                SUMIF((OFFSET(CÁLCULO!$AM$15:$AW$15,$F26,0,OFFSET(ORÇAMENTO!$D$15,CRONO!$F26,0))),CRONO!Y$12,OFFSET(CÁLCULO!$AB$15:$AL$15,$F26,0,OFFSET(ORÇAMENTO!$D$15,CRONO!$F26,0)))
                +IF(AND($F28&lt;&gt;"",$F28&lt;&gt;0),
                        SUMIF(CÁLCULO!$AM$15:$AW$59,CRONO!Y$12,CÁLCULO!$AB$15:$AL$59)/(ORÇAMENTO!$X$15-CÁLCULO.TotalAdmLocal)*CRONO!$F28,
                        0),
                 Y27*$S26),
          SUMIF(OFFSET($S28,1,0,$R26-2),($M26+1)&amp;"$",OFFSET(Y28,1,0,$R26-2)))</f>
        <v>0</v>
      </c>
      <c r="Z28" s="443" t="n">
        <f aca="true" t="array" ref="Z28:Z28">IF($R26=2,
         IF(AND(ACOMPANHAMENTO="PLE",ISNUMBER($F26)),
                SUMIF((OFFSET(CÁLCULO!$AM$15:$AW$15,$F26,0,OFFSET(ORÇAMENTO!$D$15,CRONO!$F26,0))),CRONO!Z$12,OFFSET(CÁLCULO!$AB$15:$AL$15,$F26,0,OFFSET(ORÇAMENTO!$D$15,CRONO!$F26,0)))
                +IF(AND($F28&lt;&gt;"",$F28&lt;&gt;0),
                        SUMIF(CÁLCULO!$AM$15:$AW$59,CRONO!Z$12,CÁLCULO!$AB$15:$AL$59)/(ORÇAMENTO!$X$15-CÁLCULO.TotalAdmLocal)*CRONO!$F28,
                        0),
                 Z27*$S26),
          SUMIF(OFFSET($S28,1,0,$R26-2),($M26+1)&amp;"$",OFFSET(Z28,1,0,$R26-2)))</f>
        <v>0</v>
      </c>
      <c r="AA28" s="443" t="n">
        <f aca="true" t="array" ref="AA28:AA28">IF($R26=2,
         IF(AND(ACOMPANHAMENTO="PLE",ISNUMBER($F26)),
                SUMIF((OFFSET(CÁLCULO!$AM$15:$AW$15,$F26,0,OFFSET(ORÇAMENTO!$D$15,CRONO!$F26,0))),CRONO!AA$12,OFFSET(CÁLCULO!$AB$15:$AL$15,$F26,0,OFFSET(ORÇAMENTO!$D$15,CRONO!$F26,0)))
                +IF(AND($F28&lt;&gt;"",$F28&lt;&gt;0),
                        SUMIF(CÁLCULO!$AM$15:$AW$59,CRONO!AA$12,CÁLCULO!$AB$15:$AL$59)/(ORÇAMENTO!$X$15-CÁLCULO.TotalAdmLocal)*CRONO!$F28,
                        0),
                 AA27*$S26),
          SUMIF(OFFSET($S28,1,0,$R26-2),($M26+1)&amp;"$",OFFSET(AA28,1,0,$R26-2)))</f>
        <v>0</v>
      </c>
      <c r="AB28" s="443" t="n">
        <f aca="true" t="array" ref="AB28:AB28">IF($R26=2,
         IF(AND(ACOMPANHAMENTO="PLE",ISNUMBER($F26)),
                SUMIF((OFFSET(CÁLCULO!$AM$15:$AW$15,$F26,0,OFFSET(ORÇAMENTO!$D$15,CRONO!$F26,0))),CRONO!AB$12,OFFSET(CÁLCULO!$AB$15:$AL$15,$F26,0,OFFSET(ORÇAMENTO!$D$15,CRONO!$F26,0)))
                +IF(AND($F28&lt;&gt;"",$F28&lt;&gt;0),
                        SUMIF(CÁLCULO!$AM$15:$AW$59,CRONO!AB$12,CÁLCULO!$AB$15:$AL$59)/(ORÇAMENTO!$X$15-CÁLCULO.TotalAdmLocal)*CRONO!$F28,
                        0),
                 AB27*$S26),
          SUMIF(OFFSET($S28,1,0,$R26-2),($M26+1)&amp;"$",OFFSET(AB28,1,0,$R26-2)))</f>
        <v>0</v>
      </c>
      <c r="AC28" s="443" t="n">
        <f aca="true" t="array" ref="AC28:AC28">IF($R26=2,
         IF(AND(ACOMPANHAMENTO="PLE",ISNUMBER($F26)),
                SUMIF((OFFSET(CÁLCULO!$AM$15:$AW$15,$F26,0,OFFSET(ORÇAMENTO!$D$15,CRONO!$F26,0))),CRONO!AC$12,OFFSET(CÁLCULO!$AB$15:$AL$15,$F26,0,OFFSET(ORÇAMENTO!$D$15,CRONO!$F26,0)))
                +IF(AND($F28&lt;&gt;"",$F28&lt;&gt;0),
                        SUMIF(CÁLCULO!$AM$15:$AW$59,CRONO!AC$12,CÁLCULO!$AB$15:$AL$59)/(ORÇAMENTO!$X$15-CÁLCULO.TotalAdmLocal)*CRONO!$F28,
                        0),
                 AC27*$S26),
          SUMIF(OFFSET($S28,1,0,$R26-2),($M26+1)&amp;"$",OFFSET(AC28,1,0,$R26-2)))</f>
        <v>0</v>
      </c>
      <c r="AD28" s="443" t="n">
        <f aca="true" t="array" ref="AD28:AD28">IF($R26=2,
         IF(AND(ACOMPANHAMENTO="PLE",ISNUMBER($F26)),
                SUMIF((OFFSET(CÁLCULO!$AM$15:$AW$15,$F26,0,OFFSET(ORÇAMENTO!$D$15,CRONO!$F26,0))),CRONO!AD$12,OFFSET(CÁLCULO!$AB$15:$AL$15,$F26,0,OFFSET(ORÇAMENTO!$D$15,CRONO!$F26,0)))
                +IF(AND($F28&lt;&gt;"",$F28&lt;&gt;0),
                        SUMIF(CÁLCULO!$AM$15:$AW$59,CRONO!AD$12,CÁLCULO!$AB$15:$AL$59)/(ORÇAMENTO!$X$15-CÁLCULO.TotalAdmLocal)*CRONO!$F28,
                        0),
                 AD27*$S26),
          SUMIF(OFFSET($S28,1,0,$R26-2),($M26+1)&amp;"$",OFFSET(AD28,1,0,$R26-2)))</f>
        <v>0</v>
      </c>
      <c r="AE28" s="443" t="n">
        <f aca="true" t="array" ref="AE28:AE28">IF($R26=2,
         IF(AND(ACOMPANHAMENTO="PLE",ISNUMBER($F26)),
                SUMIF((OFFSET(CÁLCULO!$AM$15:$AW$15,$F26,0,OFFSET(ORÇAMENTO!$D$15,CRONO!$F26,0))),CRONO!AE$12,OFFSET(CÁLCULO!$AB$15:$AL$15,$F26,0,OFFSET(ORÇAMENTO!$D$15,CRONO!$F26,0)))
                +IF(AND($F28&lt;&gt;"",$F28&lt;&gt;0),
                        SUMIF(CÁLCULO!$AM$15:$AW$59,CRONO!AE$12,CÁLCULO!$AB$15:$AL$59)/(ORÇAMENTO!$X$15-CÁLCULO.TotalAdmLocal)*CRONO!$F28,
                        0),
                 AE27*$S26),
          SUMIF(OFFSET($S28,1,0,$R26-2),($M26+1)&amp;"$",OFFSET(AE28,1,0,$R26-2)))</f>
        <v>0</v>
      </c>
      <c r="AF28" s="443" t="n">
        <f aca="true" t="array" ref="AF28:AF28">IF($R26=2,
         IF(AND(ACOMPANHAMENTO="PLE",ISNUMBER($F26)),
                SUMIF((OFFSET(CÁLCULO!$AM$15:$AW$15,$F26,0,OFFSET(ORÇAMENTO!$D$15,CRONO!$F26,0))),CRONO!AF$12,OFFSET(CÁLCULO!$AB$15:$AL$15,$F26,0,OFFSET(ORÇAMENTO!$D$15,CRONO!$F26,0)))
                +IF(AND($F28&lt;&gt;"",$F28&lt;&gt;0),
                        SUMIF(CÁLCULO!$AM$15:$AW$59,CRONO!AF$12,CÁLCULO!$AB$15:$AL$59)/(ORÇAMENTO!$X$15-CÁLCULO.TotalAdmLocal)*CRONO!$F28,
                        0),
                 AF27*$S26),
          SUMIF(OFFSET($S28,1,0,$R26-2),($M26+1)&amp;"$",OFFSET(AF28,1,0,$R26-2)))</f>
        <v>0</v>
      </c>
      <c r="AG28" s="434"/>
    </row>
    <row r="29" customFormat="false" ht="12.75" hidden="false" customHeight="false" outlineLevel="0" collapsed="false">
      <c r="A29" s="384" t="str">
        <f aca="false">IF($M29&gt;1,_xlfn.CONCAT($I29," ",$J29),"")</f>
        <v>1.5. MOVIMENTAÇÃO DE TERRA</v>
      </c>
      <c r="B29" s="423" t="n">
        <f aca="true">OFFSET(B29,-3,0)+1</f>
        <v>6</v>
      </c>
      <c r="C29" s="423" t="n">
        <f aca="true">IF($R29&lt;&gt;2,0,IF($S29=0,1,IF(F30&gt;0,OFFSET(QCI!$M$13,SUBSTITUTE(F30,".",""),0),OFFSET(ORÇAMENTO!$AA$15,CRONO!$F29,0))/$S29))</f>
        <v>1</v>
      </c>
      <c r="D29" s="423" t="n">
        <f aca="true">IF($R29&lt;&gt;2,0,IF($S29=0,1,IF(F30&gt;0,OFFSET(QCI!$N$13,SUBSTITUTE(F30,".",""),0),OFFSET(ORÇAMENTO!$AB$15,CRONO!$F29,0))/$S29))</f>
        <v>1</v>
      </c>
      <c r="E29" s="426" t="n">
        <f aca="false" t="array" ref="E29:E29">IF(AND($R29=2,ACOMPANHAMENTO="BM"),ROUND(E30,4),E31/$S29)</f>
        <v>0</v>
      </c>
      <c r="F29" s="423" t="n">
        <f aca="true" t="array" ref="F29:F29">IF(B29&lt;=ORÇAMENTO.MáximoListaCrono,MATCH(B29,ORÇAMENTO.ListaCrono,0),NA())</f>
        <v>13</v>
      </c>
      <c r="G29" s="423" t="str">
        <f aca="false">IF(AND($F30&lt;&gt;-1,$S29&gt;0),"F","")</f>
        <v/>
      </c>
      <c r="H29" s="427" t="str">
        <f aca="false" t="array" ref="H29:H29">IF(OR(S29=0,S29=""),"Linha",IF(AND(OR(ACOMPANHAMENTO="PLE",$R29&lt;&gt;2),$F30=0),"Linha",ROUND(1-SUM(U29:AG29),4)))</f>
        <v>Linha</v>
      </c>
      <c r="I29" s="428" t="str">
        <f aca="true">IF($F30=0,OFFSET(ORÇAMENTO!O$15,$F29,0),IF($F30&lt;&gt;-1,OFFSET(QCI!$D$13,$F30,0),""))</f>
        <v>1.5.</v>
      </c>
      <c r="J29" s="429" t="str">
        <f aca="true">IF($F30=0,OFFSET(ORÇAMENTO!R$15,$F29,0),IF($F30&lt;&gt;-1,OFFSET(QCI!$G$13,$F30,0),""))</f>
        <v>MOVIMENTAÇÃO DE TERRA</v>
      </c>
      <c r="K29" s="429"/>
      <c r="L29" s="429"/>
      <c r="M29" s="430" t="n">
        <f aca="true">IF($F30=0,OFFSET(ORÇAMENTO!C$15,$F29,0),1)</f>
        <v>2</v>
      </c>
      <c r="N29" s="431" t="n">
        <f aca="true">IF($F30=-1,0,IF(N$13&lt;=$M29,IF(ISERROR(MATCH(N$13,OFFSET($M29,1,0,ROW($M$50)-ROW($M29)-1),0)),ROW($M$50)-ROW($M29)-1,MATCH(N$13,OFFSET($M29,1,0,ROW($M$50)-ROW($M29)-1),0)-1),0))</f>
        <v>20</v>
      </c>
      <c r="O29" s="431" t="n">
        <f aca="true">IF($F30=-1,0,IF(O$13&lt;=$M29,IF(ISERROR(MATCH(O$13,OFFSET($M29,1,0,ROW($M$50)-ROW($M29)-1),0)),ROW($M$50)-ROW($M29)-1,MATCH(O$13,OFFSET($M29,1,0,ROW($M$50)-ROW($M29)-1),0)-1),0))</f>
        <v>2</v>
      </c>
      <c r="P29" s="431" t="n">
        <f aca="true">IF($F30=-1,0,IF(P$13&lt;=$M29,IF(ISERROR(MATCH(P$13,OFFSET($M29,1,0,ROW($M$50)-ROW($M29)-1),0)),ROW($M$50)-ROW($M29)-1,MATCH(P$13,OFFSET($M29,1,0,ROW($M$50)-ROW($M29)-1),0)-1),0))</f>
        <v>0</v>
      </c>
      <c r="Q29" s="431" t="n">
        <f aca="true">IF($F30=-1,0,IF(Q$13&lt;=$M29,IF(ISERROR(MATCH(Q$13,OFFSET($M29,1,0,ROW($M$50)-ROW($M29)-1),0)),ROW($M$50)-ROW($M29)-1,MATCH(Q$13,OFFSET($M29,1,0,ROW($M$50)-ROW($M29)-1),0)-1),0))</f>
        <v>0</v>
      </c>
      <c r="R29" s="431" t="n">
        <f aca="true">MIN(OFFSET(M29,0,1,,M29))</f>
        <v>2</v>
      </c>
      <c r="S29" s="432" t="n">
        <f aca="true">IF($F30=0,OFFSET(ORÇAMENTO!X$15,$F29,0),IF($F30&lt;&gt;-1,OFFSET(QCI!$O$13,$F30,0),""))</f>
        <v>0</v>
      </c>
      <c r="T29" s="433" t="s">
        <v>924</v>
      </c>
      <c r="U29" s="426" t="n">
        <f aca="false" t="array" ref="U29:U29">IF(AND($R29=2,ACOMPANHAMENTO="BM"),ROUND(U30,4),U31/$S29)</f>
        <v>0.1</v>
      </c>
      <c r="V29" s="426" t="n">
        <f aca="false" t="array" ref="V29:V29">IF(AND($R29=2,ACOMPANHAMENTO="BM"),ROUND(V30,4),V31/$S29)</f>
        <v>0.1</v>
      </c>
      <c r="W29" s="426" t="n">
        <f aca="false" t="array" ref="W29:W29">IF(AND($R29=2,ACOMPANHAMENTO="BM"),ROUND(W30,4),W31/$S29)</f>
        <v>0.1</v>
      </c>
      <c r="X29" s="426" t="n">
        <f aca="false" t="array" ref="X29:X29">IF(AND($R29=2,ACOMPANHAMENTO="BM"),ROUND(X30,4),X31/$S29)</f>
        <v>0.1</v>
      </c>
      <c r="Y29" s="426" t="n">
        <f aca="false" t="array" ref="Y29:Y29">IF(AND($R29=2,ACOMPANHAMENTO="BM"),ROUND(Y30,4),Y31/$S29)</f>
        <v>0.1</v>
      </c>
      <c r="Z29" s="426" t="n">
        <f aca="false" t="array" ref="Z29:Z29">IF(AND($R29=2,ACOMPANHAMENTO="BM"),ROUND(Z30,4),Z31/$S29)</f>
        <v>0.1</v>
      </c>
      <c r="AA29" s="426" t="n">
        <f aca="false" t="array" ref="AA29:AA29">IF(AND($R29=2,ACOMPANHAMENTO="BM"),ROUND(AA30,4),AA31/$S29)</f>
        <v>0.1</v>
      </c>
      <c r="AB29" s="426" t="n">
        <f aca="false" t="array" ref="AB29:AB29">IF(AND($R29=2,ACOMPANHAMENTO="BM"),ROUND(AB30,4),AB31/$S29)</f>
        <v>0.1</v>
      </c>
      <c r="AC29" s="426" t="n">
        <f aca="false" t="array" ref="AC29:AC29">IF(AND($R29=2,ACOMPANHAMENTO="BM"),ROUND(AC30,4),AC31/$S29)</f>
        <v>0.1</v>
      </c>
      <c r="AD29" s="426" t="n">
        <f aca="false" t="array" ref="AD29:AD29">IF(AND($R29=2,ACOMPANHAMENTO="BM"),ROUND(AD30,4),AD31/$S29)</f>
        <v>0.1</v>
      </c>
      <c r="AE29" s="426" t="n">
        <f aca="false" t="array" ref="AE29:AE29">IF(AND($R29=2,ACOMPANHAMENTO="BM"),ROUND(AE30,4),AE31/$S29)</f>
        <v>0</v>
      </c>
      <c r="AF29" s="426" t="n">
        <f aca="false" t="array" ref="AF29:AF29">IF(AND($R29=2,ACOMPANHAMENTO="BM"),ROUND(AF30,4),AF31/$S29)</f>
        <v>0</v>
      </c>
      <c r="AG29" s="434"/>
    </row>
    <row r="30" customFormat="false" ht="12.75" hidden="false" customHeight="true" outlineLevel="0" collapsed="false">
      <c r="E30" s="435"/>
      <c r="F30" s="423" t="n">
        <f aca="true">IF(ISERROR(F29),IF(1+COUNTIF($M$13:OFFSET(M29,-1,0),1)&lt;=MAX(QCI!$D$13:$D$24),1+COUNTIF($M$13:OFFSET(M29,-1,0),1),-1),0)</f>
        <v>0</v>
      </c>
      <c r="G30" s="423" t="str">
        <f aca="true" t="array" ref="G30:G30">IF(ACOMPANHAMENTO="BM",OFFSET(G30,-1,0),"")</f>
        <v/>
      </c>
      <c r="H30" s="436" t="str">
        <f aca="false" t="array" ref="H30:H30">IF(OR(S29=0,S29=""),"vazia",IF(AND(OR(ACOMPANHAMENTO="PLE",$R29&lt;&gt;2),$F30=0),"calculada","--&gt;"))</f>
        <v>vazia</v>
      </c>
      <c r="I30" s="437"/>
      <c r="J30" s="438" t="str">
        <f aca="false">IF(AND(H29&lt;&gt;0,ISNUMBER(H29)),"PREENCHA ESTA LINHA --&gt;","")</f>
        <v/>
      </c>
      <c r="K30" s="438"/>
      <c r="L30" s="438"/>
      <c r="M30" s="439"/>
      <c r="N30" s="439"/>
      <c r="O30" s="439"/>
      <c r="P30" s="439"/>
      <c r="Q30" s="439"/>
      <c r="R30" s="439"/>
      <c r="S30" s="440"/>
      <c r="T30" s="441"/>
      <c r="U30" s="435" t="n">
        <v>0.1</v>
      </c>
      <c r="V30" s="435" t="n">
        <v>0.1</v>
      </c>
      <c r="W30" s="435" t="n">
        <v>0.1</v>
      </c>
      <c r="X30" s="435" t="n">
        <v>0.1</v>
      </c>
      <c r="Y30" s="435" t="n">
        <v>0.1</v>
      </c>
      <c r="Z30" s="435" t="n">
        <v>0.1</v>
      </c>
      <c r="AA30" s="435" t="n">
        <v>0.1</v>
      </c>
      <c r="AB30" s="435" t="n">
        <v>0.1</v>
      </c>
      <c r="AC30" s="435" t="n">
        <v>0.1</v>
      </c>
      <c r="AD30" s="435" t="n">
        <v>0.1</v>
      </c>
      <c r="AE30" s="435"/>
      <c r="AF30" s="435"/>
      <c r="AG30" s="434"/>
    </row>
    <row r="31" customFormat="false" ht="12.75" hidden="true" customHeight="true" outlineLevel="0" collapsed="false">
      <c r="D31" s="442"/>
      <c r="E31" s="443" t="n">
        <f aca="true" t="array" ref="E31:E31">IF($R29=2,
         IF(AND(ACOMPANHAMENTO="PLE",ISNUMBER($F29)),
                SUMIF((OFFSET(CÁLCULO!$AM$15:$AW$15,$F29,0,OFFSET(ORÇAMENTO!$D$15,CRONO!$F29,0))),CRONO!E$12,OFFSET(CÁLCULO!$AB$15:$AL$15,$F29,0,OFFSET(ORÇAMENTO!$D$15,CRONO!$F29,0)))
                +IF(AND($F31&lt;&gt;"",$F31&lt;&gt;0),
                        SUMIF(CÁLCULO!$AM$15:$AW$59,CRONO!E$12,CÁLCULO!$AB$15:$AL$59)/(ORÇAMENTO!$X$15-CÁLCULO.TotalAdmLocal)*CRONO!$F31,
                        0),
                 E30*$S29),
          SUMIF(OFFSET($S31,1,0,$R29-2),($M29+1)&amp;"$",OFFSET(E31,1,0,$R29-2)))</f>
        <v>0</v>
      </c>
      <c r="F31" s="423" t="str">
        <f aca="true">IF(OR($R29&lt;&gt;2,AUTOEVENTO&lt;&gt;"manual",$F30&gt;0),"",
        IF(Import.TipoArredondamento="Tradicional",
              SUMIF(OFFSET(CÁLCULO!$M$15,CRONO!$F29,0,OFFSET(ORÇAMENTO!$D$15,CRONO!$F29,0)),1,OFFSET(ORÇAMENTO!$X$15,CRONO!$F29,0,OFFSET(ORÇAMENTO!$D$15,CRONO!$F29,0))),
              0))</f>
        <v/>
      </c>
      <c r="H31" s="444"/>
      <c r="S31" s="445" t="str">
        <f aca="false">M29&amp;"$"</f>
        <v>2$</v>
      </c>
      <c r="T31" s="446"/>
      <c r="U31" s="443" t="n">
        <f aca="true" t="array" ref="U31:U31">IF($R29=2,
         IF(AND(ACOMPANHAMENTO="PLE",ISNUMBER($F29)),
                SUMIF((OFFSET(CÁLCULO!$AM$15:$AW$15,$F29,0,OFFSET(ORÇAMENTO!$D$15,CRONO!$F29,0))),CRONO!U$12,OFFSET(CÁLCULO!$AB$15:$AL$15,$F29,0,OFFSET(ORÇAMENTO!$D$15,CRONO!$F29,0)))
                +IF(AND($F31&lt;&gt;"",$F31&lt;&gt;0),
                        SUMIF(CÁLCULO!$AM$15:$AW$59,CRONO!U$12,CÁLCULO!$AB$15:$AL$59)/(ORÇAMENTO!$X$15-CÁLCULO.TotalAdmLocal)*CRONO!$F31,
                        0),
                 U30*$S29),
          SUMIF(OFFSET($S31,1,0,$R29-2),($M29+1)&amp;"$",OFFSET(U31,1,0,$R29-2)))</f>
        <v>0</v>
      </c>
      <c r="V31" s="443" t="n">
        <f aca="true" t="array" ref="V31:V31">IF($R29=2,
         IF(AND(ACOMPANHAMENTO="PLE",ISNUMBER($F29)),
                SUMIF((OFFSET(CÁLCULO!$AM$15:$AW$15,$F29,0,OFFSET(ORÇAMENTO!$D$15,CRONO!$F29,0))),CRONO!V$12,OFFSET(CÁLCULO!$AB$15:$AL$15,$F29,0,OFFSET(ORÇAMENTO!$D$15,CRONO!$F29,0)))
                +IF(AND($F31&lt;&gt;"",$F31&lt;&gt;0),
                        SUMIF(CÁLCULO!$AM$15:$AW$59,CRONO!V$12,CÁLCULO!$AB$15:$AL$59)/(ORÇAMENTO!$X$15-CÁLCULO.TotalAdmLocal)*CRONO!$F31,
                        0),
                 V30*$S29),
          SUMIF(OFFSET($S31,1,0,$R29-2),($M29+1)&amp;"$",OFFSET(V31,1,0,$R29-2)))</f>
        <v>0</v>
      </c>
      <c r="W31" s="443" t="n">
        <f aca="true" t="array" ref="W31:W31">IF($R29=2,
         IF(AND(ACOMPANHAMENTO="PLE",ISNUMBER($F29)),
                SUMIF((OFFSET(CÁLCULO!$AM$15:$AW$15,$F29,0,OFFSET(ORÇAMENTO!$D$15,CRONO!$F29,0))),CRONO!W$12,OFFSET(CÁLCULO!$AB$15:$AL$15,$F29,0,OFFSET(ORÇAMENTO!$D$15,CRONO!$F29,0)))
                +IF(AND($F31&lt;&gt;"",$F31&lt;&gt;0),
                        SUMIF(CÁLCULO!$AM$15:$AW$59,CRONO!W$12,CÁLCULO!$AB$15:$AL$59)/(ORÇAMENTO!$X$15-CÁLCULO.TotalAdmLocal)*CRONO!$F31,
                        0),
                 W30*$S29),
          SUMIF(OFFSET($S31,1,0,$R29-2),($M29+1)&amp;"$",OFFSET(W31,1,0,$R29-2)))</f>
        <v>0</v>
      </c>
      <c r="X31" s="443" t="n">
        <f aca="true" t="array" ref="X31:X31">IF($R29=2,
         IF(AND(ACOMPANHAMENTO="PLE",ISNUMBER($F29)),
                SUMIF((OFFSET(CÁLCULO!$AM$15:$AW$15,$F29,0,OFFSET(ORÇAMENTO!$D$15,CRONO!$F29,0))),CRONO!X$12,OFFSET(CÁLCULO!$AB$15:$AL$15,$F29,0,OFFSET(ORÇAMENTO!$D$15,CRONO!$F29,0)))
                +IF(AND($F31&lt;&gt;"",$F31&lt;&gt;0),
                        SUMIF(CÁLCULO!$AM$15:$AW$59,CRONO!X$12,CÁLCULO!$AB$15:$AL$59)/(ORÇAMENTO!$X$15-CÁLCULO.TotalAdmLocal)*CRONO!$F31,
                        0),
                 X30*$S29),
          SUMIF(OFFSET($S31,1,0,$R29-2),($M29+1)&amp;"$",OFFSET(X31,1,0,$R29-2)))</f>
        <v>0</v>
      </c>
      <c r="Y31" s="443" t="n">
        <f aca="true" t="array" ref="Y31:Y31">IF($R29=2,
         IF(AND(ACOMPANHAMENTO="PLE",ISNUMBER($F29)),
                SUMIF((OFFSET(CÁLCULO!$AM$15:$AW$15,$F29,0,OFFSET(ORÇAMENTO!$D$15,CRONO!$F29,0))),CRONO!Y$12,OFFSET(CÁLCULO!$AB$15:$AL$15,$F29,0,OFFSET(ORÇAMENTO!$D$15,CRONO!$F29,0)))
                +IF(AND($F31&lt;&gt;"",$F31&lt;&gt;0),
                        SUMIF(CÁLCULO!$AM$15:$AW$59,CRONO!Y$12,CÁLCULO!$AB$15:$AL$59)/(ORÇAMENTO!$X$15-CÁLCULO.TotalAdmLocal)*CRONO!$F31,
                        0),
                 Y30*$S29),
          SUMIF(OFFSET($S31,1,0,$R29-2),($M29+1)&amp;"$",OFFSET(Y31,1,0,$R29-2)))</f>
        <v>0</v>
      </c>
      <c r="Z31" s="443" t="n">
        <f aca="true" t="array" ref="Z31:Z31">IF($R29=2,
         IF(AND(ACOMPANHAMENTO="PLE",ISNUMBER($F29)),
                SUMIF((OFFSET(CÁLCULO!$AM$15:$AW$15,$F29,0,OFFSET(ORÇAMENTO!$D$15,CRONO!$F29,0))),CRONO!Z$12,OFFSET(CÁLCULO!$AB$15:$AL$15,$F29,0,OFFSET(ORÇAMENTO!$D$15,CRONO!$F29,0)))
                +IF(AND($F31&lt;&gt;"",$F31&lt;&gt;0),
                        SUMIF(CÁLCULO!$AM$15:$AW$59,CRONO!Z$12,CÁLCULO!$AB$15:$AL$59)/(ORÇAMENTO!$X$15-CÁLCULO.TotalAdmLocal)*CRONO!$F31,
                        0),
                 Z30*$S29),
          SUMIF(OFFSET($S31,1,0,$R29-2),($M29+1)&amp;"$",OFFSET(Z31,1,0,$R29-2)))</f>
        <v>0</v>
      </c>
      <c r="AA31" s="443" t="n">
        <f aca="true" t="array" ref="AA31:AA31">IF($R29=2,
         IF(AND(ACOMPANHAMENTO="PLE",ISNUMBER($F29)),
                SUMIF((OFFSET(CÁLCULO!$AM$15:$AW$15,$F29,0,OFFSET(ORÇAMENTO!$D$15,CRONO!$F29,0))),CRONO!AA$12,OFFSET(CÁLCULO!$AB$15:$AL$15,$F29,0,OFFSET(ORÇAMENTO!$D$15,CRONO!$F29,0)))
                +IF(AND($F31&lt;&gt;"",$F31&lt;&gt;0),
                        SUMIF(CÁLCULO!$AM$15:$AW$59,CRONO!AA$12,CÁLCULO!$AB$15:$AL$59)/(ORÇAMENTO!$X$15-CÁLCULO.TotalAdmLocal)*CRONO!$F31,
                        0),
                 AA30*$S29),
          SUMIF(OFFSET($S31,1,0,$R29-2),($M29+1)&amp;"$",OFFSET(AA31,1,0,$R29-2)))</f>
        <v>0</v>
      </c>
      <c r="AB31" s="443" t="n">
        <f aca="true" t="array" ref="AB31:AB31">IF($R29=2,
         IF(AND(ACOMPANHAMENTO="PLE",ISNUMBER($F29)),
                SUMIF((OFFSET(CÁLCULO!$AM$15:$AW$15,$F29,0,OFFSET(ORÇAMENTO!$D$15,CRONO!$F29,0))),CRONO!AB$12,OFFSET(CÁLCULO!$AB$15:$AL$15,$F29,0,OFFSET(ORÇAMENTO!$D$15,CRONO!$F29,0)))
                +IF(AND($F31&lt;&gt;"",$F31&lt;&gt;0),
                        SUMIF(CÁLCULO!$AM$15:$AW$59,CRONO!AB$12,CÁLCULO!$AB$15:$AL$59)/(ORÇAMENTO!$X$15-CÁLCULO.TotalAdmLocal)*CRONO!$F31,
                        0),
                 AB30*$S29),
          SUMIF(OFFSET($S31,1,0,$R29-2),($M29+1)&amp;"$",OFFSET(AB31,1,0,$R29-2)))</f>
        <v>0</v>
      </c>
      <c r="AC31" s="443" t="n">
        <f aca="true" t="array" ref="AC31:AC31">IF($R29=2,
         IF(AND(ACOMPANHAMENTO="PLE",ISNUMBER($F29)),
                SUMIF((OFFSET(CÁLCULO!$AM$15:$AW$15,$F29,0,OFFSET(ORÇAMENTO!$D$15,CRONO!$F29,0))),CRONO!AC$12,OFFSET(CÁLCULO!$AB$15:$AL$15,$F29,0,OFFSET(ORÇAMENTO!$D$15,CRONO!$F29,0)))
                +IF(AND($F31&lt;&gt;"",$F31&lt;&gt;0),
                        SUMIF(CÁLCULO!$AM$15:$AW$59,CRONO!AC$12,CÁLCULO!$AB$15:$AL$59)/(ORÇAMENTO!$X$15-CÁLCULO.TotalAdmLocal)*CRONO!$F31,
                        0),
                 AC30*$S29),
          SUMIF(OFFSET($S31,1,0,$R29-2),($M29+1)&amp;"$",OFFSET(AC31,1,0,$R29-2)))</f>
        <v>0</v>
      </c>
      <c r="AD31" s="443" t="n">
        <f aca="true" t="array" ref="AD31:AD31">IF($R29=2,
         IF(AND(ACOMPANHAMENTO="PLE",ISNUMBER($F29)),
                SUMIF((OFFSET(CÁLCULO!$AM$15:$AW$15,$F29,0,OFFSET(ORÇAMENTO!$D$15,CRONO!$F29,0))),CRONO!AD$12,OFFSET(CÁLCULO!$AB$15:$AL$15,$F29,0,OFFSET(ORÇAMENTO!$D$15,CRONO!$F29,0)))
                +IF(AND($F31&lt;&gt;"",$F31&lt;&gt;0),
                        SUMIF(CÁLCULO!$AM$15:$AW$59,CRONO!AD$12,CÁLCULO!$AB$15:$AL$59)/(ORÇAMENTO!$X$15-CÁLCULO.TotalAdmLocal)*CRONO!$F31,
                        0),
                 AD30*$S29),
          SUMIF(OFFSET($S31,1,0,$R29-2),($M29+1)&amp;"$",OFFSET(AD31,1,0,$R29-2)))</f>
        <v>0</v>
      </c>
      <c r="AE31" s="443" t="n">
        <f aca="true" t="array" ref="AE31:AE31">IF($R29=2,
         IF(AND(ACOMPANHAMENTO="PLE",ISNUMBER($F29)),
                SUMIF((OFFSET(CÁLCULO!$AM$15:$AW$15,$F29,0,OFFSET(ORÇAMENTO!$D$15,CRONO!$F29,0))),CRONO!AE$12,OFFSET(CÁLCULO!$AB$15:$AL$15,$F29,0,OFFSET(ORÇAMENTO!$D$15,CRONO!$F29,0)))
                +IF(AND($F31&lt;&gt;"",$F31&lt;&gt;0),
                        SUMIF(CÁLCULO!$AM$15:$AW$59,CRONO!AE$12,CÁLCULO!$AB$15:$AL$59)/(ORÇAMENTO!$X$15-CÁLCULO.TotalAdmLocal)*CRONO!$F31,
                        0),
                 AE30*$S29),
          SUMIF(OFFSET($S31,1,0,$R29-2),($M29+1)&amp;"$",OFFSET(AE31,1,0,$R29-2)))</f>
        <v>0</v>
      </c>
      <c r="AF31" s="443" t="n">
        <f aca="true" t="array" ref="AF31:AF31">IF($R29=2,
         IF(AND(ACOMPANHAMENTO="PLE",ISNUMBER($F29)),
                SUMIF((OFFSET(CÁLCULO!$AM$15:$AW$15,$F29,0,OFFSET(ORÇAMENTO!$D$15,CRONO!$F29,0))),CRONO!AF$12,OFFSET(CÁLCULO!$AB$15:$AL$15,$F29,0,OFFSET(ORÇAMENTO!$D$15,CRONO!$F29,0)))
                +IF(AND($F31&lt;&gt;"",$F31&lt;&gt;0),
                        SUMIF(CÁLCULO!$AM$15:$AW$59,CRONO!AF$12,CÁLCULO!$AB$15:$AL$59)/(ORÇAMENTO!$X$15-CÁLCULO.TotalAdmLocal)*CRONO!$F31,
                        0),
                 AF30*$S29),
          SUMIF(OFFSET($S31,1,0,$R29-2),($M29+1)&amp;"$",OFFSET(AF31,1,0,$R29-2)))</f>
        <v>0</v>
      </c>
      <c r="AG31" s="434"/>
    </row>
    <row r="32" customFormat="false" ht="12.75" hidden="false" customHeight="false" outlineLevel="0" collapsed="false">
      <c r="A32" s="384" t="str">
        <f aca="false">IF($M32&gt;1,_xlfn.CONCAT($I32," ",$J32),"")</f>
        <v>1.6. PLATAFORMA</v>
      </c>
      <c r="B32" s="423" t="n">
        <f aca="true">OFFSET(B32,-3,0)+1</f>
        <v>7</v>
      </c>
      <c r="C32" s="423" t="n">
        <f aca="true">IF($R32&lt;&gt;2,0,IF($S32=0,1,IF(F33&gt;0,OFFSET(QCI!$M$13,SUBSTITUTE(F33,".",""),0),OFFSET(ORÇAMENTO!$AA$15,CRONO!$F32,0))/$S32))</f>
        <v>1</v>
      </c>
      <c r="D32" s="423" t="n">
        <f aca="true">IF($R32&lt;&gt;2,0,IF($S32=0,1,IF(F33&gt;0,OFFSET(QCI!$N$13,SUBSTITUTE(F33,".",""),0),OFFSET(ORÇAMENTO!$AB$15,CRONO!$F32,0))/$S32))</f>
        <v>1</v>
      </c>
      <c r="E32" s="426" t="n">
        <f aca="false" t="array" ref="E32:E32">IF(AND($R32=2,ACOMPANHAMENTO="BM"),ROUND(E33,4),E34/$S32)</f>
        <v>0</v>
      </c>
      <c r="F32" s="423" t="n">
        <f aca="true" t="array" ref="F32:F32">IF(B32&lt;=ORÇAMENTO.MáximoListaCrono,MATCH(B32,ORÇAMENTO.ListaCrono,0),NA())</f>
        <v>17</v>
      </c>
      <c r="G32" s="423" t="str">
        <f aca="false">IF(AND($F33&lt;&gt;-1,$S32&gt;0),"F","")</f>
        <v/>
      </c>
      <c r="H32" s="427" t="str">
        <f aca="false" t="array" ref="H32:H32">IF(OR(S32=0,S32=""),"Linha",IF(AND(OR(ACOMPANHAMENTO="PLE",$R32&lt;&gt;2),$F33=0),"Linha",ROUND(1-SUM(U32:AG32),4)))</f>
        <v>Linha</v>
      </c>
      <c r="I32" s="428" t="str">
        <f aca="true">IF($F33=0,OFFSET(ORÇAMENTO!O$15,$F32,0),IF($F33&lt;&gt;-1,OFFSET(QCI!$D$13,$F33,0),""))</f>
        <v>1.6.</v>
      </c>
      <c r="J32" s="429" t="str">
        <f aca="true">IF($F33=0,OFFSET(ORÇAMENTO!R$15,$F32,0),IF($F33&lt;&gt;-1,OFFSET(QCI!$G$13,$F33,0),""))</f>
        <v>PLATAFORMA</v>
      </c>
      <c r="K32" s="429"/>
      <c r="L32" s="429"/>
      <c r="M32" s="430" t="n">
        <f aca="true">IF($F33=0,OFFSET(ORÇAMENTO!C$15,$F32,0),1)</f>
        <v>2</v>
      </c>
      <c r="N32" s="431" t="n">
        <f aca="true">IF($F33=-1,0,IF(N$13&lt;=$M32,IF(ISERROR(MATCH(N$13,OFFSET($M32,1,0,ROW($M$50)-ROW($M32)-1),0)),ROW($M$50)-ROW($M32)-1,MATCH(N$13,OFFSET($M32,1,0,ROW($M$50)-ROW($M32)-1),0)-1),0))</f>
        <v>17</v>
      </c>
      <c r="O32" s="431" t="n">
        <f aca="true">IF($F33=-1,0,IF(O$13&lt;=$M32,IF(ISERROR(MATCH(O$13,OFFSET($M32,1,0,ROW($M$50)-ROW($M32)-1),0)),ROW($M$50)-ROW($M32)-1,MATCH(O$13,OFFSET($M32,1,0,ROW($M$50)-ROW($M32)-1),0)-1),0))</f>
        <v>2</v>
      </c>
      <c r="P32" s="431" t="n">
        <f aca="true">IF($F33=-1,0,IF(P$13&lt;=$M32,IF(ISERROR(MATCH(P$13,OFFSET($M32,1,0,ROW($M$50)-ROW($M32)-1),0)),ROW($M$50)-ROW($M32)-1,MATCH(P$13,OFFSET($M32,1,0,ROW($M$50)-ROW($M32)-1),0)-1),0))</f>
        <v>0</v>
      </c>
      <c r="Q32" s="431" t="n">
        <f aca="true">IF($F33=-1,0,IF(Q$13&lt;=$M32,IF(ISERROR(MATCH(Q$13,OFFSET($M32,1,0,ROW($M$50)-ROW($M32)-1),0)),ROW($M$50)-ROW($M32)-1,MATCH(Q$13,OFFSET($M32,1,0,ROW($M$50)-ROW($M32)-1),0)-1),0))</f>
        <v>0</v>
      </c>
      <c r="R32" s="431" t="n">
        <f aca="true">MIN(OFFSET(M32,0,1,,M32))</f>
        <v>2</v>
      </c>
      <c r="S32" s="432" t="n">
        <f aca="true">IF($F33=0,OFFSET(ORÇAMENTO!X$15,$F32,0),IF($F33&lt;&gt;-1,OFFSET(QCI!$O$13,$F33,0),""))</f>
        <v>0</v>
      </c>
      <c r="T32" s="433" t="s">
        <v>924</v>
      </c>
      <c r="U32" s="426" t="n">
        <f aca="false" t="array" ref="U32:U32">IF(AND($R32=2,ACOMPANHAMENTO="BM"),ROUND(U33,4),U34/$S32)</f>
        <v>0</v>
      </c>
      <c r="V32" s="426" t="n">
        <f aca="false" t="array" ref="V32:V32">IF(AND($R32=2,ACOMPANHAMENTO="BM"),ROUND(V33,4),V34/$S32)</f>
        <v>0.1</v>
      </c>
      <c r="W32" s="426" t="n">
        <f aca="false" t="array" ref="W32:W32">IF(AND($R32=2,ACOMPANHAMENTO="BM"),ROUND(W33,4),W34/$S32)</f>
        <v>0.1</v>
      </c>
      <c r="X32" s="426" t="n">
        <f aca="false" t="array" ref="X32:X32">IF(AND($R32=2,ACOMPANHAMENTO="BM"),ROUND(X33,4),X34/$S32)</f>
        <v>0.1</v>
      </c>
      <c r="Y32" s="426" t="n">
        <f aca="false" t="array" ref="Y32:Y32">IF(AND($R32=2,ACOMPANHAMENTO="BM"),ROUND(Y33,4),Y34/$S32)</f>
        <v>0.1</v>
      </c>
      <c r="Z32" s="426" t="n">
        <f aca="false" t="array" ref="Z32:Z32">IF(AND($R32=2,ACOMPANHAMENTO="BM"),ROUND(Z33,4),Z34/$S32)</f>
        <v>0.1</v>
      </c>
      <c r="AA32" s="426" t="n">
        <f aca="false" t="array" ref="AA32:AA32">IF(AND($R32=2,ACOMPANHAMENTO="BM"),ROUND(AA33,4),AA34/$S32)</f>
        <v>0.1</v>
      </c>
      <c r="AB32" s="426" t="n">
        <f aca="false" t="array" ref="AB32:AB32">IF(AND($R32=2,ACOMPANHAMENTO="BM"),ROUND(AB33,4),AB34/$S32)</f>
        <v>0.1</v>
      </c>
      <c r="AC32" s="426" t="n">
        <f aca="false" t="array" ref="AC32:AC32">IF(AND($R32=2,ACOMPANHAMENTO="BM"),ROUND(AC33,4),AC34/$S32)</f>
        <v>0.1</v>
      </c>
      <c r="AD32" s="426" t="n">
        <f aca="false" t="array" ref="AD32:AD32">IF(AND($R32=2,ACOMPANHAMENTO="BM"),ROUND(AD33,4),AD34/$S32)</f>
        <v>0.1</v>
      </c>
      <c r="AE32" s="426" t="n">
        <f aca="false" t="array" ref="AE32:AE32">IF(AND($R32=2,ACOMPANHAMENTO="BM"),ROUND(AE33,4),AE34/$S32)</f>
        <v>0.1</v>
      </c>
      <c r="AF32" s="426" t="n">
        <f aca="false" t="array" ref="AF32:AF32">IF(AND($R32=2,ACOMPANHAMENTO="BM"),ROUND(AF33,4),AF34/$S32)</f>
        <v>0</v>
      </c>
      <c r="AG32" s="434"/>
    </row>
    <row r="33" customFormat="false" ht="12.75" hidden="false" customHeight="true" outlineLevel="0" collapsed="false">
      <c r="E33" s="435"/>
      <c r="F33" s="423" t="n">
        <f aca="true">IF(ISERROR(F32),IF(1+COUNTIF($M$13:OFFSET(M32,-1,0),1)&lt;=MAX(QCI!$D$13:$D$24),1+COUNTIF($M$13:OFFSET(M32,-1,0),1),-1),0)</f>
        <v>0</v>
      </c>
      <c r="G33" s="423" t="str">
        <f aca="true" t="array" ref="G33:G33">IF(ACOMPANHAMENTO="BM",OFFSET(G33,-1,0),"")</f>
        <v/>
      </c>
      <c r="H33" s="436" t="str">
        <f aca="false" t="array" ref="H33:H33">IF(OR(S32=0,S32=""),"vazia",IF(AND(OR(ACOMPANHAMENTO="PLE",$R32&lt;&gt;2),$F33=0),"calculada","--&gt;"))</f>
        <v>vazia</v>
      </c>
      <c r="I33" s="437"/>
      <c r="J33" s="438" t="str">
        <f aca="false">IF(AND(H32&lt;&gt;0,ISNUMBER(H32)),"PREENCHA ESTA LINHA --&gt;","")</f>
        <v/>
      </c>
      <c r="K33" s="438"/>
      <c r="L33" s="438"/>
      <c r="M33" s="439"/>
      <c r="N33" s="439"/>
      <c r="O33" s="439"/>
      <c r="P33" s="439"/>
      <c r="Q33" s="439"/>
      <c r="R33" s="439"/>
      <c r="S33" s="440"/>
      <c r="T33" s="441"/>
      <c r="U33" s="435"/>
      <c r="V33" s="435" t="n">
        <v>0.1</v>
      </c>
      <c r="W33" s="435" t="n">
        <v>0.1</v>
      </c>
      <c r="X33" s="435" t="n">
        <v>0.1</v>
      </c>
      <c r="Y33" s="435" t="n">
        <v>0.1</v>
      </c>
      <c r="Z33" s="435" t="n">
        <v>0.1</v>
      </c>
      <c r="AA33" s="435" t="n">
        <v>0.1</v>
      </c>
      <c r="AB33" s="435" t="n">
        <v>0.1</v>
      </c>
      <c r="AC33" s="435" t="n">
        <v>0.1</v>
      </c>
      <c r="AD33" s="435" t="n">
        <v>0.1</v>
      </c>
      <c r="AE33" s="435" t="n">
        <v>0.1</v>
      </c>
      <c r="AF33" s="435"/>
      <c r="AG33" s="434"/>
    </row>
    <row r="34" customFormat="false" ht="12.75" hidden="true" customHeight="true" outlineLevel="0" collapsed="false">
      <c r="D34" s="442"/>
      <c r="E34" s="443" t="n">
        <f aca="true" t="array" ref="E34:E34">IF($R32=2,
         IF(AND(ACOMPANHAMENTO="PLE",ISNUMBER($F32)),
                SUMIF((OFFSET(CÁLCULO!$AM$15:$AW$15,$F32,0,OFFSET(ORÇAMENTO!$D$15,CRONO!$F32,0))),CRONO!E$12,OFFSET(CÁLCULO!$AB$15:$AL$15,$F32,0,OFFSET(ORÇAMENTO!$D$15,CRONO!$F32,0)))
                +IF(AND($F34&lt;&gt;"",$F34&lt;&gt;0),
                        SUMIF(CÁLCULO!$AM$15:$AW$59,CRONO!E$12,CÁLCULO!$AB$15:$AL$59)/(ORÇAMENTO!$X$15-CÁLCULO.TotalAdmLocal)*CRONO!$F34,
                        0),
                 E33*$S32),
          SUMIF(OFFSET($S34,1,0,$R32-2),($M32+1)&amp;"$",OFFSET(E34,1,0,$R32-2)))</f>
        <v>0</v>
      </c>
      <c r="F34" s="423" t="str">
        <f aca="true">IF(OR($R32&lt;&gt;2,AUTOEVENTO&lt;&gt;"manual",$F33&gt;0),"",
        IF(Import.TipoArredondamento="Tradicional",
              SUMIF(OFFSET(CÁLCULO!$M$15,CRONO!$F32,0,OFFSET(ORÇAMENTO!$D$15,CRONO!$F32,0)),1,OFFSET(ORÇAMENTO!$X$15,CRONO!$F32,0,OFFSET(ORÇAMENTO!$D$15,CRONO!$F32,0))),
              0))</f>
        <v/>
      </c>
      <c r="H34" s="444"/>
      <c r="S34" s="445" t="str">
        <f aca="false">M32&amp;"$"</f>
        <v>2$</v>
      </c>
      <c r="T34" s="446"/>
      <c r="U34" s="443" t="n">
        <f aca="true" t="array" ref="U34:U34">IF($R32=2,
         IF(AND(ACOMPANHAMENTO="PLE",ISNUMBER($F32)),
                SUMIF((OFFSET(CÁLCULO!$AM$15:$AW$15,$F32,0,OFFSET(ORÇAMENTO!$D$15,CRONO!$F32,0))),CRONO!U$12,OFFSET(CÁLCULO!$AB$15:$AL$15,$F32,0,OFFSET(ORÇAMENTO!$D$15,CRONO!$F32,0)))
                +IF(AND($F34&lt;&gt;"",$F34&lt;&gt;0),
                        SUMIF(CÁLCULO!$AM$15:$AW$59,CRONO!U$12,CÁLCULO!$AB$15:$AL$59)/(ORÇAMENTO!$X$15-CÁLCULO.TotalAdmLocal)*CRONO!$F34,
                        0),
                 U33*$S32),
          SUMIF(OFFSET($S34,1,0,$R32-2),($M32+1)&amp;"$",OFFSET(U34,1,0,$R32-2)))</f>
        <v>0</v>
      </c>
      <c r="V34" s="443" t="n">
        <f aca="true" t="array" ref="V34:V34">IF($R32=2,
         IF(AND(ACOMPANHAMENTO="PLE",ISNUMBER($F32)),
                SUMIF((OFFSET(CÁLCULO!$AM$15:$AW$15,$F32,0,OFFSET(ORÇAMENTO!$D$15,CRONO!$F32,0))),CRONO!V$12,OFFSET(CÁLCULO!$AB$15:$AL$15,$F32,0,OFFSET(ORÇAMENTO!$D$15,CRONO!$F32,0)))
                +IF(AND($F34&lt;&gt;"",$F34&lt;&gt;0),
                        SUMIF(CÁLCULO!$AM$15:$AW$59,CRONO!V$12,CÁLCULO!$AB$15:$AL$59)/(ORÇAMENTO!$X$15-CÁLCULO.TotalAdmLocal)*CRONO!$F34,
                        0),
                 V33*$S32),
          SUMIF(OFFSET($S34,1,0,$R32-2),($M32+1)&amp;"$",OFFSET(V34,1,0,$R32-2)))</f>
        <v>0</v>
      </c>
      <c r="W34" s="443" t="n">
        <f aca="true" t="array" ref="W34:W34">IF($R32=2,
         IF(AND(ACOMPANHAMENTO="PLE",ISNUMBER($F32)),
                SUMIF((OFFSET(CÁLCULO!$AM$15:$AW$15,$F32,0,OFFSET(ORÇAMENTO!$D$15,CRONO!$F32,0))),CRONO!W$12,OFFSET(CÁLCULO!$AB$15:$AL$15,$F32,0,OFFSET(ORÇAMENTO!$D$15,CRONO!$F32,0)))
                +IF(AND($F34&lt;&gt;"",$F34&lt;&gt;0),
                        SUMIF(CÁLCULO!$AM$15:$AW$59,CRONO!W$12,CÁLCULO!$AB$15:$AL$59)/(ORÇAMENTO!$X$15-CÁLCULO.TotalAdmLocal)*CRONO!$F34,
                        0),
                 W33*$S32),
          SUMIF(OFFSET($S34,1,0,$R32-2),($M32+1)&amp;"$",OFFSET(W34,1,0,$R32-2)))</f>
        <v>0</v>
      </c>
      <c r="X34" s="443" t="n">
        <f aca="true" t="array" ref="X34:X34">IF($R32=2,
         IF(AND(ACOMPANHAMENTO="PLE",ISNUMBER($F32)),
                SUMIF((OFFSET(CÁLCULO!$AM$15:$AW$15,$F32,0,OFFSET(ORÇAMENTO!$D$15,CRONO!$F32,0))),CRONO!X$12,OFFSET(CÁLCULO!$AB$15:$AL$15,$F32,0,OFFSET(ORÇAMENTO!$D$15,CRONO!$F32,0)))
                +IF(AND($F34&lt;&gt;"",$F34&lt;&gt;0),
                        SUMIF(CÁLCULO!$AM$15:$AW$59,CRONO!X$12,CÁLCULO!$AB$15:$AL$59)/(ORÇAMENTO!$X$15-CÁLCULO.TotalAdmLocal)*CRONO!$F34,
                        0),
                 X33*$S32),
          SUMIF(OFFSET($S34,1,0,$R32-2),($M32+1)&amp;"$",OFFSET(X34,1,0,$R32-2)))</f>
        <v>0</v>
      </c>
      <c r="Y34" s="443" t="n">
        <f aca="true" t="array" ref="Y34:Y34">IF($R32=2,
         IF(AND(ACOMPANHAMENTO="PLE",ISNUMBER($F32)),
                SUMIF((OFFSET(CÁLCULO!$AM$15:$AW$15,$F32,0,OFFSET(ORÇAMENTO!$D$15,CRONO!$F32,0))),CRONO!Y$12,OFFSET(CÁLCULO!$AB$15:$AL$15,$F32,0,OFFSET(ORÇAMENTO!$D$15,CRONO!$F32,0)))
                +IF(AND($F34&lt;&gt;"",$F34&lt;&gt;0),
                        SUMIF(CÁLCULO!$AM$15:$AW$59,CRONO!Y$12,CÁLCULO!$AB$15:$AL$59)/(ORÇAMENTO!$X$15-CÁLCULO.TotalAdmLocal)*CRONO!$F34,
                        0),
                 Y33*$S32),
          SUMIF(OFFSET($S34,1,0,$R32-2),($M32+1)&amp;"$",OFFSET(Y34,1,0,$R32-2)))</f>
        <v>0</v>
      </c>
      <c r="Z34" s="443" t="n">
        <f aca="true" t="array" ref="Z34:Z34">IF($R32=2,
         IF(AND(ACOMPANHAMENTO="PLE",ISNUMBER($F32)),
                SUMIF((OFFSET(CÁLCULO!$AM$15:$AW$15,$F32,0,OFFSET(ORÇAMENTO!$D$15,CRONO!$F32,0))),CRONO!Z$12,OFFSET(CÁLCULO!$AB$15:$AL$15,$F32,0,OFFSET(ORÇAMENTO!$D$15,CRONO!$F32,0)))
                +IF(AND($F34&lt;&gt;"",$F34&lt;&gt;0),
                        SUMIF(CÁLCULO!$AM$15:$AW$59,CRONO!Z$12,CÁLCULO!$AB$15:$AL$59)/(ORÇAMENTO!$X$15-CÁLCULO.TotalAdmLocal)*CRONO!$F34,
                        0),
                 Z33*$S32),
          SUMIF(OFFSET($S34,1,0,$R32-2),($M32+1)&amp;"$",OFFSET(Z34,1,0,$R32-2)))</f>
        <v>0</v>
      </c>
      <c r="AA34" s="443" t="n">
        <f aca="true" t="array" ref="AA34:AA34">IF($R32=2,
         IF(AND(ACOMPANHAMENTO="PLE",ISNUMBER($F32)),
                SUMIF((OFFSET(CÁLCULO!$AM$15:$AW$15,$F32,0,OFFSET(ORÇAMENTO!$D$15,CRONO!$F32,0))),CRONO!AA$12,OFFSET(CÁLCULO!$AB$15:$AL$15,$F32,0,OFFSET(ORÇAMENTO!$D$15,CRONO!$F32,0)))
                +IF(AND($F34&lt;&gt;"",$F34&lt;&gt;0),
                        SUMIF(CÁLCULO!$AM$15:$AW$59,CRONO!AA$12,CÁLCULO!$AB$15:$AL$59)/(ORÇAMENTO!$X$15-CÁLCULO.TotalAdmLocal)*CRONO!$F34,
                        0),
                 AA33*$S32),
          SUMIF(OFFSET($S34,1,0,$R32-2),($M32+1)&amp;"$",OFFSET(AA34,1,0,$R32-2)))</f>
        <v>0</v>
      </c>
      <c r="AB34" s="443" t="n">
        <f aca="true" t="array" ref="AB34:AB34">IF($R32=2,
         IF(AND(ACOMPANHAMENTO="PLE",ISNUMBER($F32)),
                SUMIF((OFFSET(CÁLCULO!$AM$15:$AW$15,$F32,0,OFFSET(ORÇAMENTO!$D$15,CRONO!$F32,0))),CRONO!AB$12,OFFSET(CÁLCULO!$AB$15:$AL$15,$F32,0,OFFSET(ORÇAMENTO!$D$15,CRONO!$F32,0)))
                +IF(AND($F34&lt;&gt;"",$F34&lt;&gt;0),
                        SUMIF(CÁLCULO!$AM$15:$AW$59,CRONO!AB$12,CÁLCULO!$AB$15:$AL$59)/(ORÇAMENTO!$X$15-CÁLCULO.TotalAdmLocal)*CRONO!$F34,
                        0),
                 AB33*$S32),
          SUMIF(OFFSET($S34,1,0,$R32-2),($M32+1)&amp;"$",OFFSET(AB34,1,0,$R32-2)))</f>
        <v>0</v>
      </c>
      <c r="AC34" s="443" t="n">
        <f aca="true" t="array" ref="AC34:AC34">IF($R32=2,
         IF(AND(ACOMPANHAMENTO="PLE",ISNUMBER($F32)),
                SUMIF((OFFSET(CÁLCULO!$AM$15:$AW$15,$F32,0,OFFSET(ORÇAMENTO!$D$15,CRONO!$F32,0))),CRONO!AC$12,OFFSET(CÁLCULO!$AB$15:$AL$15,$F32,0,OFFSET(ORÇAMENTO!$D$15,CRONO!$F32,0)))
                +IF(AND($F34&lt;&gt;"",$F34&lt;&gt;0),
                        SUMIF(CÁLCULO!$AM$15:$AW$59,CRONO!AC$12,CÁLCULO!$AB$15:$AL$59)/(ORÇAMENTO!$X$15-CÁLCULO.TotalAdmLocal)*CRONO!$F34,
                        0),
                 AC33*$S32),
          SUMIF(OFFSET($S34,1,0,$R32-2),($M32+1)&amp;"$",OFFSET(AC34,1,0,$R32-2)))</f>
        <v>0</v>
      </c>
      <c r="AD34" s="443" t="n">
        <f aca="true" t="array" ref="AD34:AD34">IF($R32=2,
         IF(AND(ACOMPANHAMENTO="PLE",ISNUMBER($F32)),
                SUMIF((OFFSET(CÁLCULO!$AM$15:$AW$15,$F32,0,OFFSET(ORÇAMENTO!$D$15,CRONO!$F32,0))),CRONO!AD$12,OFFSET(CÁLCULO!$AB$15:$AL$15,$F32,0,OFFSET(ORÇAMENTO!$D$15,CRONO!$F32,0)))
                +IF(AND($F34&lt;&gt;"",$F34&lt;&gt;0),
                        SUMIF(CÁLCULO!$AM$15:$AW$59,CRONO!AD$12,CÁLCULO!$AB$15:$AL$59)/(ORÇAMENTO!$X$15-CÁLCULO.TotalAdmLocal)*CRONO!$F34,
                        0),
                 AD33*$S32),
          SUMIF(OFFSET($S34,1,0,$R32-2),($M32+1)&amp;"$",OFFSET(AD34,1,0,$R32-2)))</f>
        <v>0</v>
      </c>
      <c r="AE34" s="443" t="n">
        <f aca="true" t="array" ref="AE34:AE34">IF($R32=2,
         IF(AND(ACOMPANHAMENTO="PLE",ISNUMBER($F32)),
                SUMIF((OFFSET(CÁLCULO!$AM$15:$AW$15,$F32,0,OFFSET(ORÇAMENTO!$D$15,CRONO!$F32,0))),CRONO!AE$12,OFFSET(CÁLCULO!$AB$15:$AL$15,$F32,0,OFFSET(ORÇAMENTO!$D$15,CRONO!$F32,0)))
                +IF(AND($F34&lt;&gt;"",$F34&lt;&gt;0),
                        SUMIF(CÁLCULO!$AM$15:$AW$59,CRONO!AE$12,CÁLCULO!$AB$15:$AL$59)/(ORÇAMENTO!$X$15-CÁLCULO.TotalAdmLocal)*CRONO!$F34,
                        0),
                 AE33*$S32),
          SUMIF(OFFSET($S34,1,0,$R32-2),($M32+1)&amp;"$",OFFSET(AE34,1,0,$R32-2)))</f>
        <v>0</v>
      </c>
      <c r="AF34" s="443" t="n">
        <f aca="true" t="array" ref="AF34:AF34">IF($R32=2,
         IF(AND(ACOMPANHAMENTO="PLE",ISNUMBER($F32)),
                SUMIF((OFFSET(CÁLCULO!$AM$15:$AW$15,$F32,0,OFFSET(ORÇAMENTO!$D$15,CRONO!$F32,0))),CRONO!AF$12,OFFSET(CÁLCULO!$AB$15:$AL$15,$F32,0,OFFSET(ORÇAMENTO!$D$15,CRONO!$F32,0)))
                +IF(AND($F34&lt;&gt;"",$F34&lt;&gt;0),
                        SUMIF(CÁLCULO!$AM$15:$AW$59,CRONO!AF$12,CÁLCULO!$AB$15:$AL$59)/(ORÇAMENTO!$X$15-CÁLCULO.TotalAdmLocal)*CRONO!$F34,
                        0),
                 AF33*$S32),
          SUMIF(OFFSET($S34,1,0,$R32-2),($M32+1)&amp;"$",OFFSET(AF34,1,0,$R32-2)))</f>
        <v>0</v>
      </c>
      <c r="AG34" s="434"/>
    </row>
    <row r="35" customFormat="false" ht="12.75" hidden="false" customHeight="false" outlineLevel="0" collapsed="false">
      <c r="A35" s="384" t="str">
        <f aca="false">IF($M35&gt;1,_xlfn.CONCAT($I35," ",$J35),"")</f>
        <v>1.7. PAVIMENTAÇAO</v>
      </c>
      <c r="B35" s="423" t="n">
        <f aca="true">OFFSET(B35,-3,0)+1</f>
        <v>8</v>
      </c>
      <c r="C35" s="423" t="n">
        <f aca="true">IF($R35&lt;&gt;2,0,IF($S35=0,1,IF(F36&gt;0,OFFSET(QCI!$M$13,SUBSTITUTE(F36,".",""),0),OFFSET(ORÇAMENTO!$AA$15,CRONO!$F35,0))/$S35))</f>
        <v>1</v>
      </c>
      <c r="D35" s="423" t="n">
        <f aca="true">IF($R35&lt;&gt;2,0,IF($S35=0,1,IF(F36&gt;0,OFFSET(QCI!$N$13,SUBSTITUTE(F36,".",""),0),OFFSET(ORÇAMENTO!$AB$15,CRONO!$F35,0))/$S35))</f>
        <v>1</v>
      </c>
      <c r="E35" s="426" t="n">
        <f aca="false" t="array" ref="E35:E35">IF(AND($R35=2,ACOMPANHAMENTO="BM"),ROUND(E36,4),E37/$S35)</f>
        <v>0</v>
      </c>
      <c r="F35" s="423" t="n">
        <f aca="true" t="array" ref="F35:F35">IF(B35&lt;=ORÇAMENTO.MáximoListaCrono,MATCH(B35,ORÇAMENTO.ListaCrono,0),NA())</f>
        <v>23</v>
      </c>
      <c r="G35" s="423" t="str">
        <f aca="false">IF(AND($F36&lt;&gt;-1,$S35&gt;0),"F","")</f>
        <v/>
      </c>
      <c r="H35" s="427" t="str">
        <f aca="false" t="array" ref="H35:H35">IF(OR(S35=0,S35=""),"Linha",IF(AND(OR(ACOMPANHAMENTO="PLE",$R35&lt;&gt;2),$F36=0),"Linha",ROUND(1-SUM(U35:AG35),4)))</f>
        <v>Linha</v>
      </c>
      <c r="I35" s="428" t="str">
        <f aca="true">IF($F36=0,OFFSET(ORÇAMENTO!O$15,$F35,0),IF($F36&lt;&gt;-1,OFFSET(QCI!$D$13,$F36,0),""))</f>
        <v>1.7.</v>
      </c>
      <c r="J35" s="429" t="str">
        <f aca="true">IF($F36=0,OFFSET(ORÇAMENTO!R$15,$F35,0),IF($F36&lt;&gt;-1,OFFSET(QCI!$G$13,$F36,0),""))</f>
        <v>PAVIMENTAÇAO</v>
      </c>
      <c r="K35" s="429"/>
      <c r="L35" s="429"/>
      <c r="M35" s="430" t="n">
        <f aca="true">IF($F36=0,OFFSET(ORÇAMENTO!C$15,$F35,0),1)</f>
        <v>2</v>
      </c>
      <c r="N35" s="431" t="n">
        <f aca="true">IF($F36=-1,0,IF(N$13&lt;=$M35,IF(ISERROR(MATCH(N$13,OFFSET($M35,1,0,ROW($M$50)-ROW($M35)-1),0)),ROW($M$50)-ROW($M35)-1,MATCH(N$13,OFFSET($M35,1,0,ROW($M$50)-ROW($M35)-1),0)-1),0))</f>
        <v>14</v>
      </c>
      <c r="O35" s="431" t="n">
        <f aca="true">IF($F36=-1,0,IF(O$13&lt;=$M35,IF(ISERROR(MATCH(O$13,OFFSET($M35,1,0,ROW($M$50)-ROW($M35)-1),0)),ROW($M$50)-ROW($M35)-1,MATCH(O$13,OFFSET($M35,1,0,ROW($M$50)-ROW($M35)-1),0)-1),0))</f>
        <v>2</v>
      </c>
      <c r="P35" s="431" t="n">
        <f aca="true">IF($F36=-1,0,IF(P$13&lt;=$M35,IF(ISERROR(MATCH(P$13,OFFSET($M35,1,0,ROW($M$50)-ROW($M35)-1),0)),ROW($M$50)-ROW($M35)-1,MATCH(P$13,OFFSET($M35,1,0,ROW($M$50)-ROW($M35)-1),0)-1),0))</f>
        <v>0</v>
      </c>
      <c r="Q35" s="431" t="n">
        <f aca="true">IF($F36=-1,0,IF(Q$13&lt;=$M35,IF(ISERROR(MATCH(Q$13,OFFSET($M35,1,0,ROW($M$50)-ROW($M35)-1),0)),ROW($M$50)-ROW($M35)-1,MATCH(Q$13,OFFSET($M35,1,0,ROW($M$50)-ROW($M35)-1),0)-1),0))</f>
        <v>0</v>
      </c>
      <c r="R35" s="431" t="n">
        <f aca="true">MIN(OFFSET(M35,0,1,,M35))</f>
        <v>2</v>
      </c>
      <c r="S35" s="432" t="n">
        <f aca="true">IF($F36=0,OFFSET(ORÇAMENTO!X$15,$F35,0),IF($F36&lt;&gt;-1,OFFSET(QCI!$O$13,$F36,0),""))</f>
        <v>0</v>
      </c>
      <c r="T35" s="433" t="s">
        <v>924</v>
      </c>
      <c r="U35" s="426" t="n">
        <f aca="false" t="array" ref="U35:U35">IF(AND($R35=2,ACOMPANHAMENTO="BM"),ROUND(U36,4),U37/$S35)</f>
        <v>0.05</v>
      </c>
      <c r="V35" s="426" t="n">
        <f aca="false" t="array" ref="V35:V35">IF(AND($R35=2,ACOMPANHAMENTO="BM"),ROUND(V36,4),V37/$S35)</f>
        <v>0.1</v>
      </c>
      <c r="W35" s="426" t="n">
        <f aca="false" t="array" ref="W35:W35">IF(AND($R35=2,ACOMPANHAMENTO="BM"),ROUND(W36,4),W37/$S35)</f>
        <v>0.1</v>
      </c>
      <c r="X35" s="426" t="n">
        <f aca="false" t="array" ref="X35:X35">IF(AND($R35=2,ACOMPANHAMENTO="BM"),ROUND(X36,4),X37/$S35)</f>
        <v>0.1</v>
      </c>
      <c r="Y35" s="426" t="n">
        <f aca="false" t="array" ref="Y35:Y35">IF(AND($R35=2,ACOMPANHAMENTO="BM"),ROUND(Y36,4),Y37/$S35)</f>
        <v>0.1</v>
      </c>
      <c r="Z35" s="426" t="n">
        <f aca="false" t="array" ref="Z35:Z35">IF(AND($R35=2,ACOMPANHAMENTO="BM"),ROUND(Z36,4),Z37/$S35)</f>
        <v>0.1</v>
      </c>
      <c r="AA35" s="426" t="n">
        <f aca="false" t="array" ref="AA35:AA35">IF(AND($R35=2,ACOMPANHAMENTO="BM"),ROUND(AA36,4),AA37/$S35)</f>
        <v>0.1</v>
      </c>
      <c r="AB35" s="426" t="n">
        <f aca="false" t="array" ref="AB35:AB35">IF(AND($R35=2,ACOMPANHAMENTO="BM"),ROUND(AB36,4),AB37/$S35)</f>
        <v>0.1</v>
      </c>
      <c r="AC35" s="426" t="n">
        <f aca="false" t="array" ref="AC35:AC35">IF(AND($R35=2,ACOMPANHAMENTO="BM"),ROUND(AC36,4),AC37/$S35)</f>
        <v>0.1</v>
      </c>
      <c r="AD35" s="426" t="n">
        <f aca="false" t="array" ref="AD35:AD35">IF(AND($R35=2,ACOMPANHAMENTO="BM"),ROUND(AD36,4),AD37/$S35)</f>
        <v>0.1</v>
      </c>
      <c r="AE35" s="426" t="n">
        <f aca="false" t="array" ref="AE35:AE35">IF(AND($R35=2,ACOMPANHAMENTO="BM"),ROUND(AE36,4),AE37/$S35)</f>
        <v>0.05</v>
      </c>
      <c r="AF35" s="426" t="n">
        <f aca="false" t="array" ref="AF35:AF35">IF(AND($R35=2,ACOMPANHAMENTO="BM"),ROUND(AF36,4),AF37/$S35)</f>
        <v>0</v>
      </c>
      <c r="AG35" s="434"/>
    </row>
    <row r="36" customFormat="false" ht="12.75" hidden="false" customHeight="true" outlineLevel="0" collapsed="false">
      <c r="E36" s="435"/>
      <c r="F36" s="423" t="n">
        <f aca="true">IF(ISERROR(F35),IF(1+COUNTIF($M$13:OFFSET(M35,-1,0),1)&lt;=MAX(QCI!$D$13:$D$24),1+COUNTIF($M$13:OFFSET(M35,-1,0),1),-1),0)</f>
        <v>0</v>
      </c>
      <c r="G36" s="423" t="str">
        <f aca="true" t="array" ref="G36:G36">IF(ACOMPANHAMENTO="BM",OFFSET(G36,-1,0),"")</f>
        <v/>
      </c>
      <c r="H36" s="436" t="str">
        <f aca="false" t="array" ref="H36:H36">IF(OR(S35=0,S35=""),"vazia",IF(AND(OR(ACOMPANHAMENTO="PLE",$R35&lt;&gt;2),$F36=0),"calculada","--&gt;"))</f>
        <v>vazia</v>
      </c>
      <c r="I36" s="437"/>
      <c r="J36" s="438" t="str">
        <f aca="false">IF(AND(H35&lt;&gt;0,ISNUMBER(H35)),"PREENCHA ESTA LINHA --&gt;","")</f>
        <v/>
      </c>
      <c r="K36" s="438"/>
      <c r="L36" s="438"/>
      <c r="M36" s="439"/>
      <c r="N36" s="439"/>
      <c r="O36" s="439"/>
      <c r="P36" s="439"/>
      <c r="Q36" s="439"/>
      <c r="R36" s="439"/>
      <c r="S36" s="440"/>
      <c r="T36" s="441"/>
      <c r="U36" s="435" t="n">
        <v>0.05</v>
      </c>
      <c r="V36" s="435" t="n">
        <v>0.1</v>
      </c>
      <c r="W36" s="435" t="n">
        <v>0.1</v>
      </c>
      <c r="X36" s="435" t="n">
        <v>0.1</v>
      </c>
      <c r="Y36" s="435" t="n">
        <v>0.1</v>
      </c>
      <c r="Z36" s="435" t="n">
        <v>0.1</v>
      </c>
      <c r="AA36" s="435" t="n">
        <v>0.1</v>
      </c>
      <c r="AB36" s="435" t="n">
        <v>0.1</v>
      </c>
      <c r="AC36" s="435" t="n">
        <v>0.1</v>
      </c>
      <c r="AD36" s="435" t="n">
        <v>0.1</v>
      </c>
      <c r="AE36" s="435" t="n">
        <v>0.05</v>
      </c>
      <c r="AF36" s="435"/>
      <c r="AG36" s="434"/>
    </row>
    <row r="37" customFormat="false" ht="12.75" hidden="true" customHeight="true" outlineLevel="0" collapsed="false">
      <c r="D37" s="442"/>
      <c r="E37" s="443" t="n">
        <f aca="true" t="array" ref="E37:E37">IF($R35=2,
         IF(AND(ACOMPANHAMENTO="PLE",ISNUMBER($F35)),
                SUMIF((OFFSET(CÁLCULO!$AM$15:$AW$15,$F35,0,OFFSET(ORÇAMENTO!$D$15,CRONO!$F35,0))),CRONO!E$12,OFFSET(CÁLCULO!$AB$15:$AL$15,$F35,0,OFFSET(ORÇAMENTO!$D$15,CRONO!$F35,0)))
                +IF(AND($F37&lt;&gt;"",$F37&lt;&gt;0),
                        SUMIF(CÁLCULO!$AM$15:$AW$59,CRONO!E$12,CÁLCULO!$AB$15:$AL$59)/(ORÇAMENTO!$X$15-CÁLCULO.TotalAdmLocal)*CRONO!$F37,
                        0),
                 E36*$S35),
          SUMIF(OFFSET($S37,1,0,$R35-2),($M35+1)&amp;"$",OFFSET(E37,1,0,$R35-2)))</f>
        <v>0</v>
      </c>
      <c r="F37" s="423" t="str">
        <f aca="true">IF(OR($R35&lt;&gt;2,AUTOEVENTO&lt;&gt;"manual",$F36&gt;0),"",
        IF(Import.TipoArredondamento="Tradicional",
              SUMIF(OFFSET(CÁLCULO!$M$15,CRONO!$F35,0,OFFSET(ORÇAMENTO!$D$15,CRONO!$F35,0)),1,OFFSET(ORÇAMENTO!$X$15,CRONO!$F35,0,OFFSET(ORÇAMENTO!$D$15,CRONO!$F35,0))),
              0))</f>
        <v/>
      </c>
      <c r="H37" s="444"/>
      <c r="S37" s="445" t="str">
        <f aca="false">M35&amp;"$"</f>
        <v>2$</v>
      </c>
      <c r="T37" s="446"/>
      <c r="U37" s="443" t="n">
        <f aca="true" t="array" ref="U37:U37">IF($R35=2,
         IF(AND(ACOMPANHAMENTO="PLE",ISNUMBER($F35)),
                SUMIF((OFFSET(CÁLCULO!$AM$15:$AW$15,$F35,0,OFFSET(ORÇAMENTO!$D$15,CRONO!$F35,0))),CRONO!U$12,OFFSET(CÁLCULO!$AB$15:$AL$15,$F35,0,OFFSET(ORÇAMENTO!$D$15,CRONO!$F35,0)))
                +IF(AND($F37&lt;&gt;"",$F37&lt;&gt;0),
                        SUMIF(CÁLCULO!$AM$15:$AW$59,CRONO!U$12,CÁLCULO!$AB$15:$AL$59)/(ORÇAMENTO!$X$15-CÁLCULO.TotalAdmLocal)*CRONO!$F37,
                        0),
                 U36*$S35),
          SUMIF(OFFSET($S37,1,0,$R35-2),($M35+1)&amp;"$",OFFSET(U37,1,0,$R35-2)))</f>
        <v>0</v>
      </c>
      <c r="V37" s="443" t="n">
        <f aca="true" t="array" ref="V37:V37">IF($R35=2,
         IF(AND(ACOMPANHAMENTO="PLE",ISNUMBER($F35)),
                SUMIF((OFFSET(CÁLCULO!$AM$15:$AW$15,$F35,0,OFFSET(ORÇAMENTO!$D$15,CRONO!$F35,0))),CRONO!V$12,OFFSET(CÁLCULO!$AB$15:$AL$15,$F35,0,OFFSET(ORÇAMENTO!$D$15,CRONO!$F35,0)))
                +IF(AND($F37&lt;&gt;"",$F37&lt;&gt;0),
                        SUMIF(CÁLCULO!$AM$15:$AW$59,CRONO!V$12,CÁLCULO!$AB$15:$AL$59)/(ORÇAMENTO!$X$15-CÁLCULO.TotalAdmLocal)*CRONO!$F37,
                        0),
                 V36*$S35),
          SUMIF(OFFSET($S37,1,0,$R35-2),($M35+1)&amp;"$",OFFSET(V37,1,0,$R35-2)))</f>
        <v>0</v>
      </c>
      <c r="W37" s="443" t="n">
        <f aca="true" t="array" ref="W37:W37">IF($R35=2,
         IF(AND(ACOMPANHAMENTO="PLE",ISNUMBER($F35)),
                SUMIF((OFFSET(CÁLCULO!$AM$15:$AW$15,$F35,0,OFFSET(ORÇAMENTO!$D$15,CRONO!$F35,0))),CRONO!W$12,OFFSET(CÁLCULO!$AB$15:$AL$15,$F35,0,OFFSET(ORÇAMENTO!$D$15,CRONO!$F35,0)))
                +IF(AND($F37&lt;&gt;"",$F37&lt;&gt;0),
                        SUMIF(CÁLCULO!$AM$15:$AW$59,CRONO!W$12,CÁLCULO!$AB$15:$AL$59)/(ORÇAMENTO!$X$15-CÁLCULO.TotalAdmLocal)*CRONO!$F37,
                        0),
                 W36*$S35),
          SUMIF(OFFSET($S37,1,0,$R35-2),($M35+1)&amp;"$",OFFSET(W37,1,0,$R35-2)))</f>
        <v>0</v>
      </c>
      <c r="X37" s="443" t="n">
        <f aca="true" t="array" ref="X37:X37">IF($R35=2,
         IF(AND(ACOMPANHAMENTO="PLE",ISNUMBER($F35)),
                SUMIF((OFFSET(CÁLCULO!$AM$15:$AW$15,$F35,0,OFFSET(ORÇAMENTO!$D$15,CRONO!$F35,0))),CRONO!X$12,OFFSET(CÁLCULO!$AB$15:$AL$15,$F35,0,OFFSET(ORÇAMENTO!$D$15,CRONO!$F35,0)))
                +IF(AND($F37&lt;&gt;"",$F37&lt;&gt;0),
                        SUMIF(CÁLCULO!$AM$15:$AW$59,CRONO!X$12,CÁLCULO!$AB$15:$AL$59)/(ORÇAMENTO!$X$15-CÁLCULO.TotalAdmLocal)*CRONO!$F37,
                        0),
                 X36*$S35),
          SUMIF(OFFSET($S37,1,0,$R35-2),($M35+1)&amp;"$",OFFSET(X37,1,0,$R35-2)))</f>
        <v>0</v>
      </c>
      <c r="Y37" s="443" t="n">
        <f aca="true" t="array" ref="Y37:Y37">IF($R35=2,
         IF(AND(ACOMPANHAMENTO="PLE",ISNUMBER($F35)),
                SUMIF((OFFSET(CÁLCULO!$AM$15:$AW$15,$F35,0,OFFSET(ORÇAMENTO!$D$15,CRONO!$F35,0))),CRONO!Y$12,OFFSET(CÁLCULO!$AB$15:$AL$15,$F35,0,OFFSET(ORÇAMENTO!$D$15,CRONO!$F35,0)))
                +IF(AND($F37&lt;&gt;"",$F37&lt;&gt;0),
                        SUMIF(CÁLCULO!$AM$15:$AW$59,CRONO!Y$12,CÁLCULO!$AB$15:$AL$59)/(ORÇAMENTO!$X$15-CÁLCULO.TotalAdmLocal)*CRONO!$F37,
                        0),
                 Y36*$S35),
          SUMIF(OFFSET($S37,1,0,$R35-2),($M35+1)&amp;"$",OFFSET(Y37,1,0,$R35-2)))</f>
        <v>0</v>
      </c>
      <c r="Z37" s="443" t="n">
        <f aca="true" t="array" ref="Z37:Z37">IF($R35=2,
         IF(AND(ACOMPANHAMENTO="PLE",ISNUMBER($F35)),
                SUMIF((OFFSET(CÁLCULO!$AM$15:$AW$15,$F35,0,OFFSET(ORÇAMENTO!$D$15,CRONO!$F35,0))),CRONO!Z$12,OFFSET(CÁLCULO!$AB$15:$AL$15,$F35,0,OFFSET(ORÇAMENTO!$D$15,CRONO!$F35,0)))
                +IF(AND($F37&lt;&gt;"",$F37&lt;&gt;0),
                        SUMIF(CÁLCULO!$AM$15:$AW$59,CRONO!Z$12,CÁLCULO!$AB$15:$AL$59)/(ORÇAMENTO!$X$15-CÁLCULO.TotalAdmLocal)*CRONO!$F37,
                        0),
                 Z36*$S35),
          SUMIF(OFFSET($S37,1,0,$R35-2),($M35+1)&amp;"$",OFFSET(Z37,1,0,$R35-2)))</f>
        <v>0</v>
      </c>
      <c r="AA37" s="443" t="n">
        <f aca="true" t="array" ref="AA37:AA37">IF($R35=2,
         IF(AND(ACOMPANHAMENTO="PLE",ISNUMBER($F35)),
                SUMIF((OFFSET(CÁLCULO!$AM$15:$AW$15,$F35,0,OFFSET(ORÇAMENTO!$D$15,CRONO!$F35,0))),CRONO!AA$12,OFFSET(CÁLCULO!$AB$15:$AL$15,$F35,0,OFFSET(ORÇAMENTO!$D$15,CRONO!$F35,0)))
                +IF(AND($F37&lt;&gt;"",$F37&lt;&gt;0),
                        SUMIF(CÁLCULO!$AM$15:$AW$59,CRONO!AA$12,CÁLCULO!$AB$15:$AL$59)/(ORÇAMENTO!$X$15-CÁLCULO.TotalAdmLocal)*CRONO!$F37,
                        0),
                 AA36*$S35),
          SUMIF(OFFSET($S37,1,0,$R35-2),($M35+1)&amp;"$",OFFSET(AA37,1,0,$R35-2)))</f>
        <v>0</v>
      </c>
      <c r="AB37" s="443" t="n">
        <f aca="true" t="array" ref="AB37:AB37">IF($R35=2,
         IF(AND(ACOMPANHAMENTO="PLE",ISNUMBER($F35)),
                SUMIF((OFFSET(CÁLCULO!$AM$15:$AW$15,$F35,0,OFFSET(ORÇAMENTO!$D$15,CRONO!$F35,0))),CRONO!AB$12,OFFSET(CÁLCULO!$AB$15:$AL$15,$F35,0,OFFSET(ORÇAMENTO!$D$15,CRONO!$F35,0)))
                +IF(AND($F37&lt;&gt;"",$F37&lt;&gt;0),
                        SUMIF(CÁLCULO!$AM$15:$AW$59,CRONO!AB$12,CÁLCULO!$AB$15:$AL$59)/(ORÇAMENTO!$X$15-CÁLCULO.TotalAdmLocal)*CRONO!$F37,
                        0),
                 AB36*$S35),
          SUMIF(OFFSET($S37,1,0,$R35-2),($M35+1)&amp;"$",OFFSET(AB37,1,0,$R35-2)))</f>
        <v>0</v>
      </c>
      <c r="AC37" s="443" t="n">
        <f aca="true" t="array" ref="AC37:AC37">IF($R35=2,
         IF(AND(ACOMPANHAMENTO="PLE",ISNUMBER($F35)),
                SUMIF((OFFSET(CÁLCULO!$AM$15:$AW$15,$F35,0,OFFSET(ORÇAMENTO!$D$15,CRONO!$F35,0))),CRONO!AC$12,OFFSET(CÁLCULO!$AB$15:$AL$15,$F35,0,OFFSET(ORÇAMENTO!$D$15,CRONO!$F35,0)))
                +IF(AND($F37&lt;&gt;"",$F37&lt;&gt;0),
                        SUMIF(CÁLCULO!$AM$15:$AW$59,CRONO!AC$12,CÁLCULO!$AB$15:$AL$59)/(ORÇAMENTO!$X$15-CÁLCULO.TotalAdmLocal)*CRONO!$F37,
                        0),
                 AC36*$S35),
          SUMIF(OFFSET($S37,1,0,$R35-2),($M35+1)&amp;"$",OFFSET(AC37,1,0,$R35-2)))</f>
        <v>0</v>
      </c>
      <c r="AD37" s="443" t="n">
        <f aca="true" t="array" ref="AD37:AD37">IF($R35=2,
         IF(AND(ACOMPANHAMENTO="PLE",ISNUMBER($F35)),
                SUMIF((OFFSET(CÁLCULO!$AM$15:$AW$15,$F35,0,OFFSET(ORÇAMENTO!$D$15,CRONO!$F35,0))),CRONO!AD$12,OFFSET(CÁLCULO!$AB$15:$AL$15,$F35,0,OFFSET(ORÇAMENTO!$D$15,CRONO!$F35,0)))
                +IF(AND($F37&lt;&gt;"",$F37&lt;&gt;0),
                        SUMIF(CÁLCULO!$AM$15:$AW$59,CRONO!AD$12,CÁLCULO!$AB$15:$AL$59)/(ORÇAMENTO!$X$15-CÁLCULO.TotalAdmLocal)*CRONO!$F37,
                        0),
                 AD36*$S35),
          SUMIF(OFFSET($S37,1,0,$R35-2),($M35+1)&amp;"$",OFFSET(AD37,1,0,$R35-2)))</f>
        <v>0</v>
      </c>
      <c r="AE37" s="443" t="n">
        <f aca="true" t="array" ref="AE37:AE37">IF($R35=2,
         IF(AND(ACOMPANHAMENTO="PLE",ISNUMBER($F35)),
                SUMIF((OFFSET(CÁLCULO!$AM$15:$AW$15,$F35,0,OFFSET(ORÇAMENTO!$D$15,CRONO!$F35,0))),CRONO!AE$12,OFFSET(CÁLCULO!$AB$15:$AL$15,$F35,0,OFFSET(ORÇAMENTO!$D$15,CRONO!$F35,0)))
                +IF(AND($F37&lt;&gt;"",$F37&lt;&gt;0),
                        SUMIF(CÁLCULO!$AM$15:$AW$59,CRONO!AE$12,CÁLCULO!$AB$15:$AL$59)/(ORÇAMENTO!$X$15-CÁLCULO.TotalAdmLocal)*CRONO!$F37,
                        0),
                 AE36*$S35),
          SUMIF(OFFSET($S37,1,0,$R35-2),($M35+1)&amp;"$",OFFSET(AE37,1,0,$R35-2)))</f>
        <v>0</v>
      </c>
      <c r="AF37" s="443" t="n">
        <f aca="true" t="array" ref="AF37:AF37">IF($R35=2,
         IF(AND(ACOMPANHAMENTO="PLE",ISNUMBER($F35)),
                SUMIF((OFFSET(CÁLCULO!$AM$15:$AW$15,$F35,0,OFFSET(ORÇAMENTO!$D$15,CRONO!$F35,0))),CRONO!AF$12,OFFSET(CÁLCULO!$AB$15:$AL$15,$F35,0,OFFSET(ORÇAMENTO!$D$15,CRONO!$F35,0)))
                +IF(AND($F37&lt;&gt;"",$F37&lt;&gt;0),
                        SUMIF(CÁLCULO!$AM$15:$AW$59,CRONO!AF$12,CÁLCULO!$AB$15:$AL$59)/(ORÇAMENTO!$X$15-CÁLCULO.TotalAdmLocal)*CRONO!$F37,
                        0),
                 AF36*$S35),
          SUMIF(OFFSET($S37,1,0,$R35-2),($M35+1)&amp;"$",OFFSET(AF37,1,0,$R35-2)))</f>
        <v>0</v>
      </c>
      <c r="AG37" s="434"/>
    </row>
    <row r="38" customFormat="false" ht="12.75" hidden="false" customHeight="false" outlineLevel="0" collapsed="false">
      <c r="A38" s="384" t="str">
        <f aca="false">IF($M38&gt;1,_xlfn.CONCAT($I38," ",$J38),"")</f>
        <v>1.8. EQUIPAMENTO</v>
      </c>
      <c r="B38" s="423" t="n">
        <f aca="true">OFFSET(B38,-3,0)+1</f>
        <v>9</v>
      </c>
      <c r="C38" s="423" t="n">
        <f aca="true">IF($R38&lt;&gt;2,0,IF($S38=0,1,IF(F39&gt;0,OFFSET(QCI!$M$13,SUBSTITUTE(F39,".",""),0),OFFSET(ORÇAMENTO!$AA$15,CRONO!$F38,0))/$S38))</f>
        <v>1</v>
      </c>
      <c r="D38" s="423" t="n">
        <f aca="true">IF($R38&lt;&gt;2,0,IF($S38=0,1,IF(F39&gt;0,OFFSET(QCI!$N$13,SUBSTITUTE(F39,".",""),0),OFFSET(ORÇAMENTO!$AB$15,CRONO!$F38,0))/$S38))</f>
        <v>1</v>
      </c>
      <c r="E38" s="426" t="n">
        <f aca="false" t="array" ref="E38:E38">IF(AND($R38=2,ACOMPANHAMENTO="BM"),ROUND(E39,4),E40/$S38)</f>
        <v>0</v>
      </c>
      <c r="F38" s="423" t="n">
        <f aca="true" t="array" ref="F38:F38">IF(B38&lt;=ORÇAMENTO.MáximoListaCrono,MATCH(B38,ORÇAMENTO.ListaCrono,0),NA())</f>
        <v>27</v>
      </c>
      <c r="G38" s="423" t="str">
        <f aca="false">IF(AND($F39&lt;&gt;-1,$S38&gt;0),"F","")</f>
        <v/>
      </c>
      <c r="H38" s="427" t="str">
        <f aca="false" t="array" ref="H38:H38">IF(OR(S38=0,S38=""),"Linha",IF(AND(OR(ACOMPANHAMENTO="PLE",$R38&lt;&gt;2),$F39=0),"Linha",ROUND(1-SUM(U38:AG38),4)))</f>
        <v>Linha</v>
      </c>
      <c r="I38" s="428" t="str">
        <f aca="true">IF($F39=0,OFFSET(ORÇAMENTO!O$15,$F38,0),IF($F39&lt;&gt;-1,OFFSET(QCI!$D$13,$F39,0),""))</f>
        <v>1.8.</v>
      </c>
      <c r="J38" s="429" t="str">
        <f aca="true">IF($F39=0,OFFSET(ORÇAMENTO!R$15,$F38,0),IF($F39&lt;&gt;-1,OFFSET(QCI!$G$13,$F39,0),""))</f>
        <v>EQUIPAMENTO</v>
      </c>
      <c r="K38" s="429"/>
      <c r="L38" s="429"/>
      <c r="M38" s="430" t="n">
        <f aca="true">IF($F39=0,OFFSET(ORÇAMENTO!C$15,$F38,0),1)</f>
        <v>2</v>
      </c>
      <c r="N38" s="431" t="n">
        <f aca="true">IF($F39=-1,0,IF(N$13&lt;=$M38,IF(ISERROR(MATCH(N$13,OFFSET($M38,1,0,ROW($M$50)-ROW($M38)-1),0)),ROW($M$50)-ROW($M38)-1,MATCH(N$13,OFFSET($M38,1,0,ROW($M$50)-ROW($M38)-1),0)-1),0))</f>
        <v>11</v>
      </c>
      <c r="O38" s="431" t="n">
        <f aca="true">IF($F39=-1,0,IF(O$13&lt;=$M38,IF(ISERROR(MATCH(O$13,OFFSET($M38,1,0,ROW($M$50)-ROW($M38)-1),0)),ROW($M$50)-ROW($M38)-1,MATCH(O$13,OFFSET($M38,1,0,ROW($M$50)-ROW($M38)-1),0)-1),0))</f>
        <v>2</v>
      </c>
      <c r="P38" s="431" t="n">
        <f aca="true">IF($F39=-1,0,IF(P$13&lt;=$M38,IF(ISERROR(MATCH(P$13,OFFSET($M38,1,0,ROW($M$50)-ROW($M38)-1),0)),ROW($M$50)-ROW($M38)-1,MATCH(P$13,OFFSET($M38,1,0,ROW($M$50)-ROW($M38)-1),0)-1),0))</f>
        <v>0</v>
      </c>
      <c r="Q38" s="431" t="n">
        <f aca="true">IF($F39=-1,0,IF(Q$13&lt;=$M38,IF(ISERROR(MATCH(Q$13,OFFSET($M38,1,0,ROW($M$50)-ROW($M38)-1),0)),ROW($M$50)-ROW($M38)-1,MATCH(Q$13,OFFSET($M38,1,0,ROW($M$50)-ROW($M38)-1),0)-1),0))</f>
        <v>0</v>
      </c>
      <c r="R38" s="431" t="n">
        <f aca="true">MIN(OFFSET(M38,0,1,,M38))</f>
        <v>2</v>
      </c>
      <c r="S38" s="432" t="n">
        <f aca="true">IF($F39=0,OFFSET(ORÇAMENTO!X$15,$F38,0),IF($F39&lt;&gt;-1,OFFSET(QCI!$O$13,$F39,0),""))</f>
        <v>0</v>
      </c>
      <c r="T38" s="433" t="s">
        <v>924</v>
      </c>
      <c r="U38" s="426" t="n">
        <f aca="false" t="array" ref="U38:U38">IF(AND($R38=2,ACOMPANHAMENTO="BM"),ROUND(U39,4),U40/$S38)</f>
        <v>0</v>
      </c>
      <c r="V38" s="426" t="n">
        <f aca="false" t="array" ref="V38:V38">IF(AND($R38=2,ACOMPANHAMENTO="BM"),ROUND(V39,4),V40/$S38)</f>
        <v>0</v>
      </c>
      <c r="W38" s="426" t="n">
        <f aca="false" t="array" ref="W38:W38">IF(AND($R38=2,ACOMPANHAMENTO="BM"),ROUND(W39,4),W40/$S38)</f>
        <v>0</v>
      </c>
      <c r="X38" s="426" t="n">
        <f aca="false" t="array" ref="X38:X38">IF(AND($R38=2,ACOMPANHAMENTO="BM"),ROUND(X39,4),X40/$S38)</f>
        <v>0</v>
      </c>
      <c r="Y38" s="426" t="n">
        <f aca="false" t="array" ref="Y38:Y38">IF(AND($R38=2,ACOMPANHAMENTO="BM"),ROUND(Y39,4),Y40/$S38)</f>
        <v>0</v>
      </c>
      <c r="Z38" s="426" t="n">
        <f aca="false" t="array" ref="Z38:Z38">IF(AND($R38=2,ACOMPANHAMENTO="BM"),ROUND(Z39,4),Z40/$S38)</f>
        <v>0</v>
      </c>
      <c r="AA38" s="426" t="n">
        <f aca="false" t="array" ref="AA38:AA38">IF(AND($R38=2,ACOMPANHAMENTO="BM"),ROUND(AA39,4),AA40/$S38)</f>
        <v>0</v>
      </c>
      <c r="AB38" s="426" t="n">
        <f aca="false" t="array" ref="AB38:AB38">IF(AND($R38=2,ACOMPANHAMENTO="BM"),ROUND(AB39,4),AB40/$S38)</f>
        <v>0</v>
      </c>
      <c r="AC38" s="426" t="n">
        <f aca="false" t="array" ref="AC38:AC38">IF(AND($R38=2,ACOMPANHAMENTO="BM"),ROUND(AC39,4),AC40/$S38)</f>
        <v>0.1</v>
      </c>
      <c r="AD38" s="426" t="n">
        <f aca="false" t="array" ref="AD38:AD38">IF(AND($R38=2,ACOMPANHAMENTO="BM"),ROUND(AD39,4),AD40/$S38)</f>
        <v>0.3</v>
      </c>
      <c r="AE38" s="426" t="n">
        <f aca="false" t="array" ref="AE38:AE38">IF(AND($R38=2,ACOMPANHAMENTO="BM"),ROUND(AE39,4),AE40/$S38)</f>
        <v>0.3</v>
      </c>
      <c r="AF38" s="426" t="n">
        <f aca="false" t="array" ref="AF38:AF38">IF(AND($R38=2,ACOMPANHAMENTO="BM"),ROUND(AF39,4),AF40/$S38)</f>
        <v>0.3</v>
      </c>
      <c r="AG38" s="434"/>
    </row>
    <row r="39" customFormat="false" ht="12.75" hidden="false" customHeight="true" outlineLevel="0" collapsed="false">
      <c r="E39" s="435"/>
      <c r="F39" s="423" t="n">
        <f aca="true">IF(ISERROR(F38),IF(1+COUNTIF($M$13:OFFSET(M38,-1,0),1)&lt;=MAX(QCI!$D$13:$D$24),1+COUNTIF($M$13:OFFSET(M38,-1,0),1),-1),0)</f>
        <v>0</v>
      </c>
      <c r="G39" s="423" t="str">
        <f aca="true" t="array" ref="G39:G39">IF(ACOMPANHAMENTO="BM",OFFSET(G39,-1,0),"")</f>
        <v/>
      </c>
      <c r="H39" s="436" t="str">
        <f aca="false" t="array" ref="H39:H39">IF(OR(S38=0,S38=""),"vazia",IF(AND(OR(ACOMPANHAMENTO="PLE",$R38&lt;&gt;2),$F39=0),"calculada","--&gt;"))</f>
        <v>vazia</v>
      </c>
      <c r="I39" s="437"/>
      <c r="J39" s="438" t="str">
        <f aca="false">IF(AND(H38&lt;&gt;0,ISNUMBER(H38)),"PREENCHA ESTA LINHA --&gt;","")</f>
        <v/>
      </c>
      <c r="K39" s="438"/>
      <c r="L39" s="438"/>
      <c r="M39" s="439"/>
      <c r="N39" s="439"/>
      <c r="O39" s="439"/>
      <c r="P39" s="439"/>
      <c r="Q39" s="439"/>
      <c r="R39" s="439"/>
      <c r="S39" s="440"/>
      <c r="T39" s="441"/>
      <c r="U39" s="435"/>
      <c r="V39" s="435"/>
      <c r="W39" s="435"/>
      <c r="X39" s="435"/>
      <c r="Y39" s="435"/>
      <c r="Z39" s="435"/>
      <c r="AA39" s="435"/>
      <c r="AB39" s="435"/>
      <c r="AC39" s="435" t="n">
        <v>0.1</v>
      </c>
      <c r="AD39" s="435" t="n">
        <v>0.3</v>
      </c>
      <c r="AE39" s="435" t="n">
        <v>0.3</v>
      </c>
      <c r="AF39" s="435" t="n">
        <v>0.3</v>
      </c>
      <c r="AG39" s="434"/>
    </row>
    <row r="40" customFormat="false" ht="12.75" hidden="true" customHeight="true" outlineLevel="0" collapsed="false">
      <c r="D40" s="442"/>
      <c r="E40" s="443" t="n">
        <f aca="true" t="array" ref="E40:E40">IF($R38=2,
         IF(AND(ACOMPANHAMENTO="PLE",ISNUMBER($F38)),
                SUMIF((OFFSET(CÁLCULO!$AM$15:$AW$15,$F38,0,OFFSET(ORÇAMENTO!$D$15,CRONO!$F38,0))),CRONO!E$12,OFFSET(CÁLCULO!$AB$15:$AL$15,$F38,0,OFFSET(ORÇAMENTO!$D$15,CRONO!$F38,0)))
                +IF(AND($F40&lt;&gt;"",$F40&lt;&gt;0),
                        SUMIF(CÁLCULO!$AM$15:$AW$59,CRONO!E$12,CÁLCULO!$AB$15:$AL$59)/(ORÇAMENTO!$X$15-CÁLCULO.TotalAdmLocal)*CRONO!$F40,
                        0),
                 E39*$S38),
          SUMIF(OFFSET($S40,1,0,$R38-2),($M38+1)&amp;"$",OFFSET(E40,1,0,$R38-2)))</f>
        <v>0</v>
      </c>
      <c r="F40" s="423" t="str">
        <f aca="true">IF(OR($R38&lt;&gt;2,AUTOEVENTO&lt;&gt;"manual",$F39&gt;0),"",
        IF(Import.TipoArredondamento="Tradicional",
              SUMIF(OFFSET(CÁLCULO!$M$15,CRONO!$F38,0,OFFSET(ORÇAMENTO!$D$15,CRONO!$F38,0)),1,OFFSET(ORÇAMENTO!$X$15,CRONO!$F38,0,OFFSET(ORÇAMENTO!$D$15,CRONO!$F38,0))),
              0))</f>
        <v/>
      </c>
      <c r="H40" s="444"/>
      <c r="S40" s="445" t="str">
        <f aca="false">M38&amp;"$"</f>
        <v>2$</v>
      </c>
      <c r="T40" s="446"/>
      <c r="U40" s="443" t="n">
        <f aca="true" t="array" ref="U40:U40">IF($R38=2,
         IF(AND(ACOMPANHAMENTO="PLE",ISNUMBER($F38)),
                SUMIF((OFFSET(CÁLCULO!$AM$15:$AW$15,$F38,0,OFFSET(ORÇAMENTO!$D$15,CRONO!$F38,0))),CRONO!U$12,OFFSET(CÁLCULO!$AB$15:$AL$15,$F38,0,OFFSET(ORÇAMENTO!$D$15,CRONO!$F38,0)))
                +IF(AND($F40&lt;&gt;"",$F40&lt;&gt;0),
                        SUMIF(CÁLCULO!$AM$15:$AW$59,CRONO!U$12,CÁLCULO!$AB$15:$AL$59)/(ORÇAMENTO!$X$15-CÁLCULO.TotalAdmLocal)*CRONO!$F40,
                        0),
                 U39*$S38),
          SUMIF(OFFSET($S40,1,0,$R38-2),($M38+1)&amp;"$",OFFSET(U40,1,0,$R38-2)))</f>
        <v>0</v>
      </c>
      <c r="V40" s="443" t="n">
        <f aca="true" t="array" ref="V40:V40">IF($R38=2,
         IF(AND(ACOMPANHAMENTO="PLE",ISNUMBER($F38)),
                SUMIF((OFFSET(CÁLCULO!$AM$15:$AW$15,$F38,0,OFFSET(ORÇAMENTO!$D$15,CRONO!$F38,0))),CRONO!V$12,OFFSET(CÁLCULO!$AB$15:$AL$15,$F38,0,OFFSET(ORÇAMENTO!$D$15,CRONO!$F38,0)))
                +IF(AND($F40&lt;&gt;"",$F40&lt;&gt;0),
                        SUMIF(CÁLCULO!$AM$15:$AW$59,CRONO!V$12,CÁLCULO!$AB$15:$AL$59)/(ORÇAMENTO!$X$15-CÁLCULO.TotalAdmLocal)*CRONO!$F40,
                        0),
                 V39*$S38),
          SUMIF(OFFSET($S40,1,0,$R38-2),($M38+1)&amp;"$",OFFSET(V40,1,0,$R38-2)))</f>
        <v>0</v>
      </c>
      <c r="W40" s="443" t="n">
        <f aca="true" t="array" ref="W40:W40">IF($R38=2,
         IF(AND(ACOMPANHAMENTO="PLE",ISNUMBER($F38)),
                SUMIF((OFFSET(CÁLCULO!$AM$15:$AW$15,$F38,0,OFFSET(ORÇAMENTO!$D$15,CRONO!$F38,0))),CRONO!W$12,OFFSET(CÁLCULO!$AB$15:$AL$15,$F38,0,OFFSET(ORÇAMENTO!$D$15,CRONO!$F38,0)))
                +IF(AND($F40&lt;&gt;"",$F40&lt;&gt;0),
                        SUMIF(CÁLCULO!$AM$15:$AW$59,CRONO!W$12,CÁLCULO!$AB$15:$AL$59)/(ORÇAMENTO!$X$15-CÁLCULO.TotalAdmLocal)*CRONO!$F40,
                        0),
                 W39*$S38),
          SUMIF(OFFSET($S40,1,0,$R38-2),($M38+1)&amp;"$",OFFSET(W40,1,0,$R38-2)))</f>
        <v>0</v>
      </c>
      <c r="X40" s="443" t="n">
        <f aca="true" t="array" ref="X40:X40">IF($R38=2,
         IF(AND(ACOMPANHAMENTO="PLE",ISNUMBER($F38)),
                SUMIF((OFFSET(CÁLCULO!$AM$15:$AW$15,$F38,0,OFFSET(ORÇAMENTO!$D$15,CRONO!$F38,0))),CRONO!X$12,OFFSET(CÁLCULO!$AB$15:$AL$15,$F38,0,OFFSET(ORÇAMENTO!$D$15,CRONO!$F38,0)))
                +IF(AND($F40&lt;&gt;"",$F40&lt;&gt;0),
                        SUMIF(CÁLCULO!$AM$15:$AW$59,CRONO!X$12,CÁLCULO!$AB$15:$AL$59)/(ORÇAMENTO!$X$15-CÁLCULO.TotalAdmLocal)*CRONO!$F40,
                        0),
                 X39*$S38),
          SUMIF(OFFSET($S40,1,0,$R38-2),($M38+1)&amp;"$",OFFSET(X40,1,0,$R38-2)))</f>
        <v>0</v>
      </c>
      <c r="Y40" s="443" t="n">
        <f aca="true" t="array" ref="Y40:Y40">IF($R38=2,
         IF(AND(ACOMPANHAMENTO="PLE",ISNUMBER($F38)),
                SUMIF((OFFSET(CÁLCULO!$AM$15:$AW$15,$F38,0,OFFSET(ORÇAMENTO!$D$15,CRONO!$F38,0))),CRONO!Y$12,OFFSET(CÁLCULO!$AB$15:$AL$15,$F38,0,OFFSET(ORÇAMENTO!$D$15,CRONO!$F38,0)))
                +IF(AND($F40&lt;&gt;"",$F40&lt;&gt;0),
                        SUMIF(CÁLCULO!$AM$15:$AW$59,CRONO!Y$12,CÁLCULO!$AB$15:$AL$59)/(ORÇAMENTO!$X$15-CÁLCULO.TotalAdmLocal)*CRONO!$F40,
                        0),
                 Y39*$S38),
          SUMIF(OFFSET($S40,1,0,$R38-2),($M38+1)&amp;"$",OFFSET(Y40,1,0,$R38-2)))</f>
        <v>0</v>
      </c>
      <c r="Z40" s="443" t="n">
        <f aca="true" t="array" ref="Z40:Z40">IF($R38=2,
         IF(AND(ACOMPANHAMENTO="PLE",ISNUMBER($F38)),
                SUMIF((OFFSET(CÁLCULO!$AM$15:$AW$15,$F38,0,OFFSET(ORÇAMENTO!$D$15,CRONO!$F38,0))),CRONO!Z$12,OFFSET(CÁLCULO!$AB$15:$AL$15,$F38,0,OFFSET(ORÇAMENTO!$D$15,CRONO!$F38,0)))
                +IF(AND($F40&lt;&gt;"",$F40&lt;&gt;0),
                        SUMIF(CÁLCULO!$AM$15:$AW$59,CRONO!Z$12,CÁLCULO!$AB$15:$AL$59)/(ORÇAMENTO!$X$15-CÁLCULO.TotalAdmLocal)*CRONO!$F40,
                        0),
                 Z39*$S38),
          SUMIF(OFFSET($S40,1,0,$R38-2),($M38+1)&amp;"$",OFFSET(Z40,1,0,$R38-2)))</f>
        <v>0</v>
      </c>
      <c r="AA40" s="443" t="n">
        <f aca="true" t="array" ref="AA40:AA40">IF($R38=2,
         IF(AND(ACOMPANHAMENTO="PLE",ISNUMBER($F38)),
                SUMIF((OFFSET(CÁLCULO!$AM$15:$AW$15,$F38,0,OFFSET(ORÇAMENTO!$D$15,CRONO!$F38,0))),CRONO!AA$12,OFFSET(CÁLCULO!$AB$15:$AL$15,$F38,0,OFFSET(ORÇAMENTO!$D$15,CRONO!$F38,0)))
                +IF(AND($F40&lt;&gt;"",$F40&lt;&gt;0),
                        SUMIF(CÁLCULO!$AM$15:$AW$59,CRONO!AA$12,CÁLCULO!$AB$15:$AL$59)/(ORÇAMENTO!$X$15-CÁLCULO.TotalAdmLocal)*CRONO!$F40,
                        0),
                 AA39*$S38),
          SUMIF(OFFSET($S40,1,0,$R38-2),($M38+1)&amp;"$",OFFSET(AA40,1,0,$R38-2)))</f>
        <v>0</v>
      </c>
      <c r="AB40" s="443" t="n">
        <f aca="true" t="array" ref="AB40:AB40">IF($R38=2,
         IF(AND(ACOMPANHAMENTO="PLE",ISNUMBER($F38)),
                SUMIF((OFFSET(CÁLCULO!$AM$15:$AW$15,$F38,0,OFFSET(ORÇAMENTO!$D$15,CRONO!$F38,0))),CRONO!AB$12,OFFSET(CÁLCULO!$AB$15:$AL$15,$F38,0,OFFSET(ORÇAMENTO!$D$15,CRONO!$F38,0)))
                +IF(AND($F40&lt;&gt;"",$F40&lt;&gt;0),
                        SUMIF(CÁLCULO!$AM$15:$AW$59,CRONO!AB$12,CÁLCULO!$AB$15:$AL$59)/(ORÇAMENTO!$X$15-CÁLCULO.TotalAdmLocal)*CRONO!$F40,
                        0),
                 AB39*$S38),
          SUMIF(OFFSET($S40,1,0,$R38-2),($M38+1)&amp;"$",OFFSET(AB40,1,0,$R38-2)))</f>
        <v>0</v>
      </c>
      <c r="AC40" s="443" t="n">
        <f aca="true" t="array" ref="AC40:AC40">IF($R38=2,
         IF(AND(ACOMPANHAMENTO="PLE",ISNUMBER($F38)),
                SUMIF((OFFSET(CÁLCULO!$AM$15:$AW$15,$F38,0,OFFSET(ORÇAMENTO!$D$15,CRONO!$F38,0))),CRONO!AC$12,OFFSET(CÁLCULO!$AB$15:$AL$15,$F38,0,OFFSET(ORÇAMENTO!$D$15,CRONO!$F38,0)))
                +IF(AND($F40&lt;&gt;"",$F40&lt;&gt;0),
                        SUMIF(CÁLCULO!$AM$15:$AW$59,CRONO!AC$12,CÁLCULO!$AB$15:$AL$59)/(ORÇAMENTO!$X$15-CÁLCULO.TotalAdmLocal)*CRONO!$F40,
                        0),
                 AC39*$S38),
          SUMIF(OFFSET($S40,1,0,$R38-2),($M38+1)&amp;"$",OFFSET(AC40,1,0,$R38-2)))</f>
        <v>0</v>
      </c>
      <c r="AD40" s="443" t="n">
        <f aca="true" t="array" ref="AD40:AD40">IF($R38=2,
         IF(AND(ACOMPANHAMENTO="PLE",ISNUMBER($F38)),
                SUMIF((OFFSET(CÁLCULO!$AM$15:$AW$15,$F38,0,OFFSET(ORÇAMENTO!$D$15,CRONO!$F38,0))),CRONO!AD$12,OFFSET(CÁLCULO!$AB$15:$AL$15,$F38,0,OFFSET(ORÇAMENTO!$D$15,CRONO!$F38,0)))
                +IF(AND($F40&lt;&gt;"",$F40&lt;&gt;0),
                        SUMIF(CÁLCULO!$AM$15:$AW$59,CRONO!AD$12,CÁLCULO!$AB$15:$AL$59)/(ORÇAMENTO!$X$15-CÁLCULO.TotalAdmLocal)*CRONO!$F40,
                        0),
                 AD39*$S38),
          SUMIF(OFFSET($S40,1,0,$R38-2),($M38+1)&amp;"$",OFFSET(AD40,1,0,$R38-2)))</f>
        <v>0</v>
      </c>
      <c r="AE40" s="443" t="n">
        <f aca="true" t="array" ref="AE40:AE40">IF($R38=2,
         IF(AND(ACOMPANHAMENTO="PLE",ISNUMBER($F38)),
                SUMIF((OFFSET(CÁLCULO!$AM$15:$AW$15,$F38,0,OFFSET(ORÇAMENTO!$D$15,CRONO!$F38,0))),CRONO!AE$12,OFFSET(CÁLCULO!$AB$15:$AL$15,$F38,0,OFFSET(ORÇAMENTO!$D$15,CRONO!$F38,0)))
                +IF(AND($F40&lt;&gt;"",$F40&lt;&gt;0),
                        SUMIF(CÁLCULO!$AM$15:$AW$59,CRONO!AE$12,CÁLCULO!$AB$15:$AL$59)/(ORÇAMENTO!$X$15-CÁLCULO.TotalAdmLocal)*CRONO!$F40,
                        0),
                 AE39*$S38),
          SUMIF(OFFSET($S40,1,0,$R38-2),($M38+1)&amp;"$",OFFSET(AE40,1,0,$R38-2)))</f>
        <v>0</v>
      </c>
      <c r="AF40" s="443" t="n">
        <f aca="true" t="array" ref="AF40:AF40">IF($R38=2,
         IF(AND(ACOMPANHAMENTO="PLE",ISNUMBER($F38)),
                SUMIF((OFFSET(CÁLCULO!$AM$15:$AW$15,$F38,0,OFFSET(ORÇAMENTO!$D$15,CRONO!$F38,0))),CRONO!AF$12,OFFSET(CÁLCULO!$AB$15:$AL$15,$F38,0,OFFSET(ORÇAMENTO!$D$15,CRONO!$F38,0)))
                +IF(AND($F40&lt;&gt;"",$F40&lt;&gt;0),
                        SUMIF(CÁLCULO!$AM$15:$AW$59,CRONO!AF$12,CÁLCULO!$AB$15:$AL$59)/(ORÇAMENTO!$X$15-CÁLCULO.TotalAdmLocal)*CRONO!$F40,
                        0),
                 AF39*$S38),
          SUMIF(OFFSET($S40,1,0,$R38-2),($M38+1)&amp;"$",OFFSET(AF40,1,0,$R38-2)))</f>
        <v>0</v>
      </c>
      <c r="AG40" s="434"/>
    </row>
    <row r="41" customFormat="false" ht="12.75" hidden="false" customHeight="false" outlineLevel="0" collapsed="false">
      <c r="A41" s="384" t="str">
        <f aca="false">IF($M41&gt;1,_xlfn.CONCAT($I41," ",$J41),"")</f>
        <v>1.9. PINTURA</v>
      </c>
      <c r="B41" s="423" t="n">
        <f aca="true">OFFSET(B41,-3,0)+1</f>
        <v>10</v>
      </c>
      <c r="C41" s="423" t="n">
        <f aca="true">IF($R41&lt;&gt;2,0,IF($S41=0,1,IF(F42&gt;0,OFFSET(QCI!$M$13,SUBSTITUTE(F42,".",""),0),OFFSET(ORÇAMENTO!$AA$15,CRONO!$F41,0))/$S41))</f>
        <v>1</v>
      </c>
      <c r="D41" s="423" t="n">
        <f aca="true">IF($R41&lt;&gt;2,0,IF($S41=0,1,IF(F42&gt;0,OFFSET(QCI!$N$13,SUBSTITUTE(F42,".",""),0),OFFSET(ORÇAMENTO!$AB$15,CRONO!$F41,0))/$S41))</f>
        <v>1</v>
      </c>
      <c r="E41" s="426" t="n">
        <f aca="false" t="array" ref="E41:E41">IF(AND($R41=2,ACOMPANHAMENTO="BM"),ROUND(E42,4),E43/$S41)</f>
        <v>0</v>
      </c>
      <c r="F41" s="423" t="n">
        <f aca="true" t="array" ref="F41:F41">IF(B41&lt;=ORÇAMENTO.MáximoListaCrono,MATCH(B41,ORÇAMENTO.ListaCrono,0),NA())</f>
        <v>34</v>
      </c>
      <c r="G41" s="423" t="str">
        <f aca="false">IF(AND($F42&lt;&gt;-1,$S41&gt;0),"F","")</f>
        <v/>
      </c>
      <c r="H41" s="427" t="str">
        <f aca="false" t="array" ref="H41:H41">IF(OR(S41=0,S41=""),"Linha",IF(AND(OR(ACOMPANHAMENTO="PLE",$R41&lt;&gt;2),$F42=0),"Linha",ROUND(1-SUM(U41:AG41),4)))</f>
        <v>Linha</v>
      </c>
      <c r="I41" s="428" t="str">
        <f aca="true">IF($F42=0,OFFSET(ORÇAMENTO!O$15,$F41,0),IF($F42&lt;&gt;-1,OFFSET(QCI!$D$13,$F42,0),""))</f>
        <v>1.9.</v>
      </c>
      <c r="J41" s="429" t="str">
        <f aca="true">IF($F42=0,OFFSET(ORÇAMENTO!R$15,$F41,0),IF($F42&lt;&gt;-1,OFFSET(QCI!$G$13,$F42,0),""))</f>
        <v>PINTURA</v>
      </c>
      <c r="K41" s="429"/>
      <c r="L41" s="429"/>
      <c r="M41" s="430" t="n">
        <f aca="true">IF($F42=0,OFFSET(ORÇAMENTO!C$15,$F41,0),1)</f>
        <v>2</v>
      </c>
      <c r="N41" s="431" t="n">
        <f aca="true">IF($F42=-1,0,IF(N$13&lt;=$M41,IF(ISERROR(MATCH(N$13,OFFSET($M41,1,0,ROW($M$50)-ROW($M41)-1),0)),ROW($M$50)-ROW($M41)-1,MATCH(N$13,OFFSET($M41,1,0,ROW($M$50)-ROW($M41)-1),0)-1),0))</f>
        <v>8</v>
      </c>
      <c r="O41" s="431" t="n">
        <f aca="true">IF($F42=-1,0,IF(O$13&lt;=$M41,IF(ISERROR(MATCH(O$13,OFFSET($M41,1,0,ROW($M$50)-ROW($M41)-1),0)),ROW($M$50)-ROW($M41)-1,MATCH(O$13,OFFSET($M41,1,0,ROW($M$50)-ROW($M41)-1),0)-1),0))</f>
        <v>2</v>
      </c>
      <c r="P41" s="431" t="n">
        <f aca="true">IF($F42=-1,0,IF(P$13&lt;=$M41,IF(ISERROR(MATCH(P$13,OFFSET($M41,1,0,ROW($M$50)-ROW($M41)-1),0)),ROW($M$50)-ROW($M41)-1,MATCH(P$13,OFFSET($M41,1,0,ROW($M$50)-ROW($M41)-1),0)-1),0))</f>
        <v>0</v>
      </c>
      <c r="Q41" s="431" t="n">
        <f aca="true">IF($F42=-1,0,IF(Q$13&lt;=$M41,IF(ISERROR(MATCH(Q$13,OFFSET($M41,1,0,ROW($M$50)-ROW($M41)-1),0)),ROW($M$50)-ROW($M41)-1,MATCH(Q$13,OFFSET($M41,1,0,ROW($M$50)-ROW($M41)-1),0)-1),0))</f>
        <v>0</v>
      </c>
      <c r="R41" s="431" t="n">
        <f aca="true">MIN(OFFSET(M41,0,1,,M41))</f>
        <v>2</v>
      </c>
      <c r="S41" s="432" t="n">
        <f aca="true">IF($F42=0,OFFSET(ORÇAMENTO!X$15,$F41,0),IF($F42&lt;&gt;-1,OFFSET(QCI!$O$13,$F42,0),""))</f>
        <v>0</v>
      </c>
      <c r="T41" s="433" t="s">
        <v>924</v>
      </c>
      <c r="U41" s="426" t="n">
        <f aca="false" t="array" ref="U41:U41">IF(AND($R41=2,ACOMPANHAMENTO="BM"),ROUND(U42,4),U43/$S41)</f>
        <v>0</v>
      </c>
      <c r="V41" s="426" t="n">
        <f aca="false" t="array" ref="V41:V41">IF(AND($R41=2,ACOMPANHAMENTO="BM"),ROUND(V42,4),V43/$S41)</f>
        <v>0</v>
      </c>
      <c r="W41" s="426" t="n">
        <f aca="false" t="array" ref="W41:W41">IF(AND($R41=2,ACOMPANHAMENTO="BM"),ROUND(W42,4),W43/$S41)</f>
        <v>0</v>
      </c>
      <c r="X41" s="426" t="n">
        <f aca="false" t="array" ref="X41:X41">IF(AND($R41=2,ACOMPANHAMENTO="BM"),ROUND(X42,4),X43/$S41)</f>
        <v>0</v>
      </c>
      <c r="Y41" s="426" t="n">
        <f aca="false" t="array" ref="Y41:Y41">IF(AND($R41=2,ACOMPANHAMENTO="BM"),ROUND(Y42,4),Y43/$S41)</f>
        <v>0</v>
      </c>
      <c r="Z41" s="426" t="n">
        <f aca="false" t="array" ref="Z41:Z41">IF(AND($R41=2,ACOMPANHAMENTO="BM"),ROUND(Z42,4),Z43/$S41)</f>
        <v>0</v>
      </c>
      <c r="AA41" s="426" t="n">
        <f aca="false" t="array" ref="AA41:AA41">IF(AND($R41=2,ACOMPANHAMENTO="BM"),ROUND(AA42,4),AA43/$S41)</f>
        <v>0</v>
      </c>
      <c r="AB41" s="426" t="n">
        <f aca="false" t="array" ref="AB41:AB41">IF(AND($R41=2,ACOMPANHAMENTO="BM"),ROUND(AB42,4),AB43/$S41)</f>
        <v>0</v>
      </c>
      <c r="AC41" s="426" t="n">
        <f aca="false" t="array" ref="AC41:AC41">IF(AND($R41=2,ACOMPANHAMENTO="BM"),ROUND(AC42,4),AC43/$S41)</f>
        <v>0</v>
      </c>
      <c r="AD41" s="426" t="n">
        <f aca="false" t="array" ref="AD41:AD41">IF(AND($R41=2,ACOMPANHAMENTO="BM"),ROUND(AD42,4),AD43/$S41)</f>
        <v>0</v>
      </c>
      <c r="AE41" s="426" t="n">
        <f aca="false" t="array" ref="AE41:AE41">IF(AND($R41=2,ACOMPANHAMENTO="BM"),ROUND(AE42,4),AE43/$S41)</f>
        <v>0.5</v>
      </c>
      <c r="AF41" s="426" t="n">
        <f aca="false" t="array" ref="AF41:AF41">IF(AND($R41=2,ACOMPANHAMENTO="BM"),ROUND(AF42,4),AF43/$S41)</f>
        <v>0.5</v>
      </c>
      <c r="AG41" s="434"/>
    </row>
    <row r="42" customFormat="false" ht="12.75" hidden="false" customHeight="true" outlineLevel="0" collapsed="false">
      <c r="E42" s="435"/>
      <c r="F42" s="423" t="n">
        <f aca="true">IF(ISERROR(F41),IF(1+COUNTIF($M$13:OFFSET(M41,-1,0),1)&lt;=MAX(QCI!$D$13:$D$24),1+COUNTIF($M$13:OFFSET(M41,-1,0),1),-1),0)</f>
        <v>0</v>
      </c>
      <c r="G42" s="423" t="str">
        <f aca="true" t="array" ref="G42:G42">IF(ACOMPANHAMENTO="BM",OFFSET(G42,-1,0),"")</f>
        <v/>
      </c>
      <c r="H42" s="436" t="str">
        <f aca="false" t="array" ref="H42:H42">IF(OR(S41=0,S41=""),"vazia",IF(AND(OR(ACOMPANHAMENTO="PLE",$R41&lt;&gt;2),$F42=0),"calculada","--&gt;"))</f>
        <v>vazia</v>
      </c>
      <c r="I42" s="437"/>
      <c r="J42" s="438" t="str">
        <f aca="false">IF(AND(H41&lt;&gt;0,ISNUMBER(H41)),"PREENCHA ESTA LINHA --&gt;","")</f>
        <v/>
      </c>
      <c r="K42" s="438"/>
      <c r="L42" s="438"/>
      <c r="M42" s="439"/>
      <c r="N42" s="439"/>
      <c r="O42" s="439"/>
      <c r="P42" s="439"/>
      <c r="Q42" s="439"/>
      <c r="R42" s="439"/>
      <c r="S42" s="440"/>
      <c r="T42" s="441"/>
      <c r="U42" s="435"/>
      <c r="V42" s="435"/>
      <c r="W42" s="435"/>
      <c r="X42" s="435"/>
      <c r="Y42" s="435"/>
      <c r="Z42" s="435"/>
      <c r="AA42" s="435"/>
      <c r="AB42" s="435"/>
      <c r="AC42" s="435"/>
      <c r="AD42" s="435"/>
      <c r="AE42" s="435" t="n">
        <v>0.5</v>
      </c>
      <c r="AF42" s="435" t="n">
        <v>0.5</v>
      </c>
      <c r="AG42" s="434"/>
    </row>
    <row r="43" customFormat="false" ht="12.75" hidden="true" customHeight="true" outlineLevel="0" collapsed="false">
      <c r="D43" s="442"/>
      <c r="E43" s="443" t="n">
        <f aca="true" t="array" ref="E43:E43">IF($R41=2,
         IF(AND(ACOMPANHAMENTO="PLE",ISNUMBER($F41)),
                SUMIF((OFFSET(CÁLCULO!$AM$15:$AW$15,$F41,0,OFFSET(ORÇAMENTO!$D$15,CRONO!$F41,0))),CRONO!E$12,OFFSET(CÁLCULO!$AB$15:$AL$15,$F41,0,OFFSET(ORÇAMENTO!$D$15,CRONO!$F41,0)))
                +IF(AND($F43&lt;&gt;"",$F43&lt;&gt;0),
                        SUMIF(CÁLCULO!$AM$15:$AW$59,CRONO!E$12,CÁLCULO!$AB$15:$AL$59)/(ORÇAMENTO!$X$15-CÁLCULO.TotalAdmLocal)*CRONO!$F43,
                        0),
                 E42*$S41),
          SUMIF(OFFSET($S43,1,0,$R41-2),($M41+1)&amp;"$",OFFSET(E43,1,0,$R41-2)))</f>
        <v>0</v>
      </c>
      <c r="F43" s="423" t="str">
        <f aca="true">IF(OR($R41&lt;&gt;2,AUTOEVENTO&lt;&gt;"manual",$F42&gt;0),"",
        IF(Import.TipoArredondamento="Tradicional",
              SUMIF(OFFSET(CÁLCULO!$M$15,CRONO!$F41,0,OFFSET(ORÇAMENTO!$D$15,CRONO!$F41,0)),1,OFFSET(ORÇAMENTO!$X$15,CRONO!$F41,0,OFFSET(ORÇAMENTO!$D$15,CRONO!$F41,0))),
              0))</f>
        <v/>
      </c>
      <c r="H43" s="444"/>
      <c r="S43" s="445" t="str">
        <f aca="false">M41&amp;"$"</f>
        <v>2$</v>
      </c>
      <c r="T43" s="446"/>
      <c r="U43" s="443" t="n">
        <f aca="true" t="array" ref="U43:U43">IF($R41=2,
         IF(AND(ACOMPANHAMENTO="PLE",ISNUMBER($F41)),
                SUMIF((OFFSET(CÁLCULO!$AM$15:$AW$15,$F41,0,OFFSET(ORÇAMENTO!$D$15,CRONO!$F41,0))),CRONO!U$12,OFFSET(CÁLCULO!$AB$15:$AL$15,$F41,0,OFFSET(ORÇAMENTO!$D$15,CRONO!$F41,0)))
                +IF(AND($F43&lt;&gt;"",$F43&lt;&gt;0),
                        SUMIF(CÁLCULO!$AM$15:$AW$59,CRONO!U$12,CÁLCULO!$AB$15:$AL$59)/(ORÇAMENTO!$X$15-CÁLCULO.TotalAdmLocal)*CRONO!$F43,
                        0),
                 U42*$S41),
          SUMIF(OFFSET($S43,1,0,$R41-2),($M41+1)&amp;"$",OFFSET(U43,1,0,$R41-2)))</f>
        <v>0</v>
      </c>
      <c r="V43" s="443" t="n">
        <f aca="true" t="array" ref="V43:V43">IF($R41=2,
         IF(AND(ACOMPANHAMENTO="PLE",ISNUMBER($F41)),
                SUMIF((OFFSET(CÁLCULO!$AM$15:$AW$15,$F41,0,OFFSET(ORÇAMENTO!$D$15,CRONO!$F41,0))),CRONO!V$12,OFFSET(CÁLCULO!$AB$15:$AL$15,$F41,0,OFFSET(ORÇAMENTO!$D$15,CRONO!$F41,0)))
                +IF(AND($F43&lt;&gt;"",$F43&lt;&gt;0),
                        SUMIF(CÁLCULO!$AM$15:$AW$59,CRONO!V$12,CÁLCULO!$AB$15:$AL$59)/(ORÇAMENTO!$X$15-CÁLCULO.TotalAdmLocal)*CRONO!$F43,
                        0),
                 V42*$S41),
          SUMIF(OFFSET($S43,1,0,$R41-2),($M41+1)&amp;"$",OFFSET(V43,1,0,$R41-2)))</f>
        <v>0</v>
      </c>
      <c r="W43" s="443" t="n">
        <f aca="true" t="array" ref="W43:W43">IF($R41=2,
         IF(AND(ACOMPANHAMENTO="PLE",ISNUMBER($F41)),
                SUMIF((OFFSET(CÁLCULO!$AM$15:$AW$15,$F41,0,OFFSET(ORÇAMENTO!$D$15,CRONO!$F41,0))),CRONO!W$12,OFFSET(CÁLCULO!$AB$15:$AL$15,$F41,0,OFFSET(ORÇAMENTO!$D$15,CRONO!$F41,0)))
                +IF(AND($F43&lt;&gt;"",$F43&lt;&gt;0),
                        SUMIF(CÁLCULO!$AM$15:$AW$59,CRONO!W$12,CÁLCULO!$AB$15:$AL$59)/(ORÇAMENTO!$X$15-CÁLCULO.TotalAdmLocal)*CRONO!$F43,
                        0),
                 W42*$S41),
          SUMIF(OFFSET($S43,1,0,$R41-2),($M41+1)&amp;"$",OFFSET(W43,1,0,$R41-2)))</f>
        <v>0</v>
      </c>
      <c r="X43" s="443" t="n">
        <f aca="true" t="array" ref="X43:X43">IF($R41=2,
         IF(AND(ACOMPANHAMENTO="PLE",ISNUMBER($F41)),
                SUMIF((OFFSET(CÁLCULO!$AM$15:$AW$15,$F41,0,OFFSET(ORÇAMENTO!$D$15,CRONO!$F41,0))),CRONO!X$12,OFFSET(CÁLCULO!$AB$15:$AL$15,$F41,0,OFFSET(ORÇAMENTO!$D$15,CRONO!$F41,0)))
                +IF(AND($F43&lt;&gt;"",$F43&lt;&gt;0),
                        SUMIF(CÁLCULO!$AM$15:$AW$59,CRONO!X$12,CÁLCULO!$AB$15:$AL$59)/(ORÇAMENTO!$X$15-CÁLCULO.TotalAdmLocal)*CRONO!$F43,
                        0),
                 X42*$S41),
          SUMIF(OFFSET($S43,1,0,$R41-2),($M41+1)&amp;"$",OFFSET(X43,1,0,$R41-2)))</f>
        <v>0</v>
      </c>
      <c r="Y43" s="443" t="n">
        <f aca="true" t="array" ref="Y43:Y43">IF($R41=2,
         IF(AND(ACOMPANHAMENTO="PLE",ISNUMBER($F41)),
                SUMIF((OFFSET(CÁLCULO!$AM$15:$AW$15,$F41,0,OFFSET(ORÇAMENTO!$D$15,CRONO!$F41,0))),CRONO!Y$12,OFFSET(CÁLCULO!$AB$15:$AL$15,$F41,0,OFFSET(ORÇAMENTO!$D$15,CRONO!$F41,0)))
                +IF(AND($F43&lt;&gt;"",$F43&lt;&gt;0),
                        SUMIF(CÁLCULO!$AM$15:$AW$59,CRONO!Y$12,CÁLCULO!$AB$15:$AL$59)/(ORÇAMENTO!$X$15-CÁLCULO.TotalAdmLocal)*CRONO!$F43,
                        0),
                 Y42*$S41),
          SUMIF(OFFSET($S43,1,0,$R41-2),($M41+1)&amp;"$",OFFSET(Y43,1,0,$R41-2)))</f>
        <v>0</v>
      </c>
      <c r="Z43" s="443" t="n">
        <f aca="true" t="array" ref="Z43:Z43">IF($R41=2,
         IF(AND(ACOMPANHAMENTO="PLE",ISNUMBER($F41)),
                SUMIF((OFFSET(CÁLCULO!$AM$15:$AW$15,$F41,0,OFFSET(ORÇAMENTO!$D$15,CRONO!$F41,0))),CRONO!Z$12,OFFSET(CÁLCULO!$AB$15:$AL$15,$F41,0,OFFSET(ORÇAMENTO!$D$15,CRONO!$F41,0)))
                +IF(AND($F43&lt;&gt;"",$F43&lt;&gt;0),
                        SUMIF(CÁLCULO!$AM$15:$AW$59,CRONO!Z$12,CÁLCULO!$AB$15:$AL$59)/(ORÇAMENTO!$X$15-CÁLCULO.TotalAdmLocal)*CRONO!$F43,
                        0),
                 Z42*$S41),
          SUMIF(OFFSET($S43,1,0,$R41-2),($M41+1)&amp;"$",OFFSET(Z43,1,0,$R41-2)))</f>
        <v>0</v>
      </c>
      <c r="AA43" s="443" t="n">
        <f aca="true" t="array" ref="AA43:AA43">IF($R41=2,
         IF(AND(ACOMPANHAMENTO="PLE",ISNUMBER($F41)),
                SUMIF((OFFSET(CÁLCULO!$AM$15:$AW$15,$F41,0,OFFSET(ORÇAMENTO!$D$15,CRONO!$F41,0))),CRONO!AA$12,OFFSET(CÁLCULO!$AB$15:$AL$15,$F41,0,OFFSET(ORÇAMENTO!$D$15,CRONO!$F41,0)))
                +IF(AND($F43&lt;&gt;"",$F43&lt;&gt;0),
                        SUMIF(CÁLCULO!$AM$15:$AW$59,CRONO!AA$12,CÁLCULO!$AB$15:$AL$59)/(ORÇAMENTO!$X$15-CÁLCULO.TotalAdmLocal)*CRONO!$F43,
                        0),
                 AA42*$S41),
          SUMIF(OFFSET($S43,1,0,$R41-2),($M41+1)&amp;"$",OFFSET(AA43,1,0,$R41-2)))</f>
        <v>0</v>
      </c>
      <c r="AB43" s="443" t="n">
        <f aca="true" t="array" ref="AB43:AB43">IF($R41=2,
         IF(AND(ACOMPANHAMENTO="PLE",ISNUMBER($F41)),
                SUMIF((OFFSET(CÁLCULO!$AM$15:$AW$15,$F41,0,OFFSET(ORÇAMENTO!$D$15,CRONO!$F41,0))),CRONO!AB$12,OFFSET(CÁLCULO!$AB$15:$AL$15,$F41,0,OFFSET(ORÇAMENTO!$D$15,CRONO!$F41,0)))
                +IF(AND($F43&lt;&gt;"",$F43&lt;&gt;0),
                        SUMIF(CÁLCULO!$AM$15:$AW$59,CRONO!AB$12,CÁLCULO!$AB$15:$AL$59)/(ORÇAMENTO!$X$15-CÁLCULO.TotalAdmLocal)*CRONO!$F43,
                        0),
                 AB42*$S41),
          SUMIF(OFFSET($S43,1,0,$R41-2),($M41+1)&amp;"$",OFFSET(AB43,1,0,$R41-2)))</f>
        <v>0</v>
      </c>
      <c r="AC43" s="443" t="n">
        <f aca="true" t="array" ref="AC43:AC43">IF($R41=2,
         IF(AND(ACOMPANHAMENTO="PLE",ISNUMBER($F41)),
                SUMIF((OFFSET(CÁLCULO!$AM$15:$AW$15,$F41,0,OFFSET(ORÇAMENTO!$D$15,CRONO!$F41,0))),CRONO!AC$12,OFFSET(CÁLCULO!$AB$15:$AL$15,$F41,0,OFFSET(ORÇAMENTO!$D$15,CRONO!$F41,0)))
                +IF(AND($F43&lt;&gt;"",$F43&lt;&gt;0),
                        SUMIF(CÁLCULO!$AM$15:$AW$59,CRONO!AC$12,CÁLCULO!$AB$15:$AL$59)/(ORÇAMENTO!$X$15-CÁLCULO.TotalAdmLocal)*CRONO!$F43,
                        0),
                 AC42*$S41),
          SUMIF(OFFSET($S43,1,0,$R41-2),($M41+1)&amp;"$",OFFSET(AC43,1,0,$R41-2)))</f>
        <v>0</v>
      </c>
      <c r="AD43" s="443" t="n">
        <f aca="true" t="array" ref="AD43:AD43">IF($R41=2,
         IF(AND(ACOMPANHAMENTO="PLE",ISNUMBER($F41)),
                SUMIF((OFFSET(CÁLCULO!$AM$15:$AW$15,$F41,0,OFFSET(ORÇAMENTO!$D$15,CRONO!$F41,0))),CRONO!AD$12,OFFSET(CÁLCULO!$AB$15:$AL$15,$F41,0,OFFSET(ORÇAMENTO!$D$15,CRONO!$F41,0)))
                +IF(AND($F43&lt;&gt;"",$F43&lt;&gt;0),
                        SUMIF(CÁLCULO!$AM$15:$AW$59,CRONO!AD$12,CÁLCULO!$AB$15:$AL$59)/(ORÇAMENTO!$X$15-CÁLCULO.TotalAdmLocal)*CRONO!$F43,
                        0),
                 AD42*$S41),
          SUMIF(OFFSET($S43,1,0,$R41-2),($M41+1)&amp;"$",OFFSET(AD43,1,0,$R41-2)))</f>
        <v>0</v>
      </c>
      <c r="AE43" s="443" t="n">
        <f aca="true" t="array" ref="AE43:AE43">IF($R41=2,
         IF(AND(ACOMPANHAMENTO="PLE",ISNUMBER($F41)),
                SUMIF((OFFSET(CÁLCULO!$AM$15:$AW$15,$F41,0,OFFSET(ORÇAMENTO!$D$15,CRONO!$F41,0))),CRONO!AE$12,OFFSET(CÁLCULO!$AB$15:$AL$15,$F41,0,OFFSET(ORÇAMENTO!$D$15,CRONO!$F41,0)))
                +IF(AND($F43&lt;&gt;"",$F43&lt;&gt;0),
                        SUMIF(CÁLCULO!$AM$15:$AW$59,CRONO!AE$12,CÁLCULO!$AB$15:$AL$59)/(ORÇAMENTO!$X$15-CÁLCULO.TotalAdmLocal)*CRONO!$F43,
                        0),
                 AE42*$S41),
          SUMIF(OFFSET($S43,1,0,$R41-2),($M41+1)&amp;"$",OFFSET(AE43,1,0,$R41-2)))</f>
        <v>0</v>
      </c>
      <c r="AF43" s="443" t="n">
        <f aca="true" t="array" ref="AF43:AF43">IF($R41=2,
         IF(AND(ACOMPANHAMENTO="PLE",ISNUMBER($F41)),
                SUMIF((OFFSET(CÁLCULO!$AM$15:$AW$15,$F41,0,OFFSET(ORÇAMENTO!$D$15,CRONO!$F41,0))),CRONO!AF$12,OFFSET(CÁLCULO!$AB$15:$AL$15,$F41,0,OFFSET(ORÇAMENTO!$D$15,CRONO!$F41,0)))
                +IF(AND($F43&lt;&gt;"",$F43&lt;&gt;0),
                        SUMIF(CÁLCULO!$AM$15:$AW$59,CRONO!AF$12,CÁLCULO!$AB$15:$AL$59)/(ORÇAMENTO!$X$15-CÁLCULO.TotalAdmLocal)*CRONO!$F43,
                        0),
                 AF42*$S41),
          SUMIF(OFFSET($S43,1,0,$R41-2),($M41+1)&amp;"$",OFFSET(AF43,1,0,$R41-2)))</f>
        <v>0</v>
      </c>
      <c r="AG43" s="434"/>
    </row>
    <row r="44" customFormat="false" ht="12.75" hidden="false" customHeight="false" outlineLevel="0" collapsed="false">
      <c r="A44" s="384" t="str">
        <f aca="false">IF($M44&gt;1,_xlfn.CONCAT($I44," ",$J44),"")</f>
        <v>1.10. PAISAGISMO</v>
      </c>
      <c r="B44" s="423" t="n">
        <f aca="true">OFFSET(B44,-3,0)+1</f>
        <v>11</v>
      </c>
      <c r="C44" s="423" t="n">
        <f aca="true">IF($R44&lt;&gt;2,0,IF($S44=0,1,IF(F45&gt;0,OFFSET(QCI!$M$13,SUBSTITUTE(F45,".",""),0),OFFSET(ORÇAMENTO!$AA$15,CRONO!$F44,0))/$S44))</f>
        <v>1</v>
      </c>
      <c r="D44" s="423" t="n">
        <f aca="true">IF($R44&lt;&gt;2,0,IF($S44=0,1,IF(F45&gt;0,OFFSET(QCI!$N$13,SUBSTITUTE(F45,".",""),0),OFFSET(ORÇAMENTO!$AB$15,CRONO!$F44,0))/$S44))</f>
        <v>1</v>
      </c>
      <c r="E44" s="426" t="n">
        <f aca="false" t="array" ref="E44:E44">IF(AND($R44=2,ACOMPANHAMENTO="BM"),ROUND(E45,4),E46/$S44)</f>
        <v>0</v>
      </c>
      <c r="F44" s="423" t="n">
        <f aca="true" t="array" ref="F44:F44">IF(B44&lt;=ORÇAMENTO.MáximoListaCrono,MATCH(B44,ORÇAMENTO.ListaCrono,0),NA())</f>
        <v>37</v>
      </c>
      <c r="G44" s="423" t="str">
        <f aca="false">IF(AND($F45&lt;&gt;-1,$S44&gt;0),"F","")</f>
        <v/>
      </c>
      <c r="H44" s="427" t="str">
        <f aca="false" t="array" ref="H44:H44">IF(OR(S44=0,S44=""),"Linha",IF(AND(OR(ACOMPANHAMENTO="PLE",$R44&lt;&gt;2),$F45=0),"Linha",ROUND(1-SUM(U44:AG44),4)))</f>
        <v>Linha</v>
      </c>
      <c r="I44" s="428" t="str">
        <f aca="true">IF($F45=0,OFFSET(ORÇAMENTO!O$15,$F44,0),IF($F45&lt;&gt;-1,OFFSET(QCI!$D$13,$F45,0),""))</f>
        <v>1.10.</v>
      </c>
      <c r="J44" s="429" t="str">
        <f aca="true">IF($F45=0,OFFSET(ORÇAMENTO!R$15,$F44,0),IF($F45&lt;&gt;-1,OFFSET(QCI!$G$13,$F45,0),""))</f>
        <v>PAISAGISMO</v>
      </c>
      <c r="K44" s="429"/>
      <c r="L44" s="429"/>
      <c r="M44" s="430" t="n">
        <f aca="true">IF($F45=0,OFFSET(ORÇAMENTO!C$15,$F44,0),1)</f>
        <v>2</v>
      </c>
      <c r="N44" s="431" t="n">
        <f aca="true">IF($F45=-1,0,IF(N$13&lt;=$M44,IF(ISERROR(MATCH(N$13,OFFSET($M44,1,0,ROW($M$50)-ROW($M44)-1),0)),ROW($M$50)-ROW($M44)-1,MATCH(N$13,OFFSET($M44,1,0,ROW($M$50)-ROW($M44)-1),0)-1),0))</f>
        <v>5</v>
      </c>
      <c r="O44" s="431" t="n">
        <f aca="true">IF($F45=-1,0,IF(O$13&lt;=$M44,IF(ISERROR(MATCH(O$13,OFFSET($M44,1,0,ROW($M$50)-ROW($M44)-1),0)),ROW($M$50)-ROW($M44)-1,MATCH(O$13,OFFSET($M44,1,0,ROW($M$50)-ROW($M44)-1),0)-1),0))</f>
        <v>2</v>
      </c>
      <c r="P44" s="431" t="n">
        <f aca="true">IF($F45=-1,0,IF(P$13&lt;=$M44,IF(ISERROR(MATCH(P$13,OFFSET($M44,1,0,ROW($M$50)-ROW($M44)-1),0)),ROW($M$50)-ROW($M44)-1,MATCH(P$13,OFFSET($M44,1,0,ROW($M$50)-ROW($M44)-1),0)-1),0))</f>
        <v>0</v>
      </c>
      <c r="Q44" s="431" t="n">
        <f aca="true">IF($F45=-1,0,IF(Q$13&lt;=$M44,IF(ISERROR(MATCH(Q$13,OFFSET($M44,1,0,ROW($M$50)-ROW($M44)-1),0)),ROW($M$50)-ROW($M44)-1,MATCH(Q$13,OFFSET($M44,1,0,ROW($M$50)-ROW($M44)-1),0)-1),0))</f>
        <v>0</v>
      </c>
      <c r="R44" s="431" t="n">
        <f aca="true">MIN(OFFSET(M44,0,1,,M44))</f>
        <v>2</v>
      </c>
      <c r="S44" s="432" t="n">
        <f aca="true">IF($F45=0,OFFSET(ORÇAMENTO!X$15,$F44,0),IF($F45&lt;&gt;-1,OFFSET(QCI!$O$13,$F45,0),""))</f>
        <v>0</v>
      </c>
      <c r="T44" s="433" t="s">
        <v>924</v>
      </c>
      <c r="U44" s="426" t="n">
        <f aca="false" t="array" ref="U44:U44">IF(AND($R44=2,ACOMPANHAMENTO="BM"),ROUND(U45,4),U46/$S44)</f>
        <v>0</v>
      </c>
      <c r="V44" s="426" t="n">
        <f aca="false" t="array" ref="V44:V44">IF(AND($R44=2,ACOMPANHAMENTO="BM"),ROUND(V45,4),V46/$S44)</f>
        <v>0</v>
      </c>
      <c r="W44" s="426" t="n">
        <f aca="false" t="array" ref="W44:W44">IF(AND($R44=2,ACOMPANHAMENTO="BM"),ROUND(W45,4),W46/$S44)</f>
        <v>0</v>
      </c>
      <c r="X44" s="426" t="n">
        <f aca="false" t="array" ref="X44:X44">IF(AND($R44=2,ACOMPANHAMENTO="BM"),ROUND(X45,4),X46/$S44)</f>
        <v>0</v>
      </c>
      <c r="Y44" s="426" t="n">
        <f aca="false" t="array" ref="Y44:Y44">IF(AND($R44=2,ACOMPANHAMENTO="BM"),ROUND(Y45,4),Y46/$S44)</f>
        <v>0</v>
      </c>
      <c r="Z44" s="426" t="n">
        <f aca="false" t="array" ref="Z44:Z44">IF(AND($R44=2,ACOMPANHAMENTO="BM"),ROUND(Z45,4),Z46/$S44)</f>
        <v>0</v>
      </c>
      <c r="AA44" s="426" t="n">
        <f aca="false" t="array" ref="AA44:AA44">IF(AND($R44=2,ACOMPANHAMENTO="BM"),ROUND(AA45,4),AA46/$S44)</f>
        <v>0</v>
      </c>
      <c r="AB44" s="426" t="n">
        <f aca="false" t="array" ref="AB44:AB44">IF(AND($R44=2,ACOMPANHAMENTO="BM"),ROUND(AB45,4),AB46/$S44)</f>
        <v>0</v>
      </c>
      <c r="AC44" s="426" t="n">
        <f aca="false" t="array" ref="AC44:AC44">IF(AND($R44=2,ACOMPANHAMENTO="BM"),ROUND(AC45,4),AC46/$S44)</f>
        <v>0</v>
      </c>
      <c r="AD44" s="426" t="n">
        <f aca="false" t="array" ref="AD44:AD44">IF(AND($R44=2,ACOMPANHAMENTO="BM"),ROUND(AD45,4),AD46/$S44)</f>
        <v>0</v>
      </c>
      <c r="AE44" s="426" t="n">
        <f aca="false" t="array" ref="AE44:AE44">IF(AND($R44=2,ACOMPANHAMENTO="BM"),ROUND(AE45,4),AE46/$S44)</f>
        <v>0.3</v>
      </c>
      <c r="AF44" s="426" t="n">
        <f aca="false" t="array" ref="AF44:AF44">IF(AND($R44=2,ACOMPANHAMENTO="BM"),ROUND(AF45,4),AF46/$S44)</f>
        <v>0.7</v>
      </c>
      <c r="AG44" s="434"/>
    </row>
    <row r="45" customFormat="false" ht="12.75" hidden="false" customHeight="true" outlineLevel="0" collapsed="false">
      <c r="E45" s="435"/>
      <c r="F45" s="423" t="n">
        <f aca="true">IF(ISERROR(F44),IF(1+COUNTIF($M$13:OFFSET(M44,-1,0),1)&lt;=MAX(QCI!$D$13:$D$24),1+COUNTIF($M$13:OFFSET(M44,-1,0),1),-1),0)</f>
        <v>0</v>
      </c>
      <c r="G45" s="423" t="str">
        <f aca="true" t="array" ref="G45:G45">IF(ACOMPANHAMENTO="BM",OFFSET(G45,-1,0),"")</f>
        <v/>
      </c>
      <c r="H45" s="436" t="str">
        <f aca="false" t="array" ref="H45:H45">IF(OR(S44=0,S44=""),"vazia",IF(AND(OR(ACOMPANHAMENTO="PLE",$R44&lt;&gt;2),$F45=0),"calculada","--&gt;"))</f>
        <v>vazia</v>
      </c>
      <c r="I45" s="437"/>
      <c r="J45" s="438" t="str">
        <f aca="false">IF(AND(H44&lt;&gt;0,ISNUMBER(H44)),"PREENCHA ESTA LINHA --&gt;","")</f>
        <v/>
      </c>
      <c r="K45" s="438"/>
      <c r="L45" s="438"/>
      <c r="M45" s="439"/>
      <c r="N45" s="439"/>
      <c r="O45" s="439"/>
      <c r="P45" s="439"/>
      <c r="Q45" s="439"/>
      <c r="R45" s="439"/>
      <c r="S45" s="440"/>
      <c r="T45" s="441"/>
      <c r="U45" s="435"/>
      <c r="V45" s="435"/>
      <c r="W45" s="435"/>
      <c r="X45" s="435"/>
      <c r="Y45" s="435"/>
      <c r="Z45" s="435"/>
      <c r="AA45" s="435"/>
      <c r="AB45" s="435"/>
      <c r="AC45" s="435"/>
      <c r="AD45" s="435"/>
      <c r="AE45" s="435" t="n">
        <v>0.3</v>
      </c>
      <c r="AF45" s="435" t="n">
        <v>0.7</v>
      </c>
      <c r="AG45" s="434"/>
    </row>
    <row r="46" customFormat="false" ht="12.75" hidden="true" customHeight="true" outlineLevel="0" collapsed="false">
      <c r="D46" s="442"/>
      <c r="E46" s="443" t="n">
        <f aca="true" t="array" ref="E46:E46">IF($R44=2,
         IF(AND(ACOMPANHAMENTO="PLE",ISNUMBER($F44)),
                SUMIF((OFFSET(CÁLCULO!$AM$15:$AW$15,$F44,0,OFFSET(ORÇAMENTO!$D$15,CRONO!$F44,0))),CRONO!E$12,OFFSET(CÁLCULO!$AB$15:$AL$15,$F44,0,OFFSET(ORÇAMENTO!$D$15,CRONO!$F44,0)))
                +IF(AND($F46&lt;&gt;"",$F46&lt;&gt;0),
                        SUMIF(CÁLCULO!$AM$15:$AW$59,CRONO!E$12,CÁLCULO!$AB$15:$AL$59)/(ORÇAMENTO!$X$15-CÁLCULO.TotalAdmLocal)*CRONO!$F46,
                        0),
                 E45*$S44),
          SUMIF(OFFSET($S46,1,0,$R44-2),($M44+1)&amp;"$",OFFSET(E46,1,0,$R44-2)))</f>
        <v>0</v>
      </c>
      <c r="F46" s="423" t="str">
        <f aca="true">IF(OR($R44&lt;&gt;2,AUTOEVENTO&lt;&gt;"manual",$F45&gt;0),"",
        IF(Import.TipoArredondamento="Tradicional",
              SUMIF(OFFSET(CÁLCULO!$M$15,CRONO!$F44,0,OFFSET(ORÇAMENTO!$D$15,CRONO!$F44,0)),1,OFFSET(ORÇAMENTO!$X$15,CRONO!$F44,0,OFFSET(ORÇAMENTO!$D$15,CRONO!$F44,0))),
              0))</f>
        <v/>
      </c>
      <c r="H46" s="444"/>
      <c r="S46" s="445" t="str">
        <f aca="false">M44&amp;"$"</f>
        <v>2$</v>
      </c>
      <c r="T46" s="446"/>
      <c r="U46" s="443" t="n">
        <f aca="true" t="array" ref="U46:U46">IF($R44=2,
         IF(AND(ACOMPANHAMENTO="PLE",ISNUMBER($F44)),
                SUMIF((OFFSET(CÁLCULO!$AM$15:$AW$15,$F44,0,OFFSET(ORÇAMENTO!$D$15,CRONO!$F44,0))),CRONO!U$12,OFFSET(CÁLCULO!$AB$15:$AL$15,$F44,0,OFFSET(ORÇAMENTO!$D$15,CRONO!$F44,0)))
                +IF(AND($F46&lt;&gt;"",$F46&lt;&gt;0),
                        SUMIF(CÁLCULO!$AM$15:$AW$59,CRONO!U$12,CÁLCULO!$AB$15:$AL$59)/(ORÇAMENTO!$X$15-CÁLCULO.TotalAdmLocal)*CRONO!$F46,
                        0),
                 U45*$S44),
          SUMIF(OFFSET($S46,1,0,$R44-2),($M44+1)&amp;"$",OFFSET(U46,1,0,$R44-2)))</f>
        <v>0</v>
      </c>
      <c r="V46" s="443" t="n">
        <f aca="true" t="array" ref="V46:V46">IF($R44=2,
         IF(AND(ACOMPANHAMENTO="PLE",ISNUMBER($F44)),
                SUMIF((OFFSET(CÁLCULO!$AM$15:$AW$15,$F44,0,OFFSET(ORÇAMENTO!$D$15,CRONO!$F44,0))),CRONO!V$12,OFFSET(CÁLCULO!$AB$15:$AL$15,$F44,0,OFFSET(ORÇAMENTO!$D$15,CRONO!$F44,0)))
                +IF(AND($F46&lt;&gt;"",$F46&lt;&gt;0),
                        SUMIF(CÁLCULO!$AM$15:$AW$59,CRONO!V$12,CÁLCULO!$AB$15:$AL$59)/(ORÇAMENTO!$X$15-CÁLCULO.TotalAdmLocal)*CRONO!$F46,
                        0),
                 V45*$S44),
          SUMIF(OFFSET($S46,1,0,$R44-2),($M44+1)&amp;"$",OFFSET(V46,1,0,$R44-2)))</f>
        <v>0</v>
      </c>
      <c r="W46" s="443" t="n">
        <f aca="true" t="array" ref="W46:W46">IF($R44=2,
         IF(AND(ACOMPANHAMENTO="PLE",ISNUMBER($F44)),
                SUMIF((OFFSET(CÁLCULO!$AM$15:$AW$15,$F44,0,OFFSET(ORÇAMENTO!$D$15,CRONO!$F44,0))),CRONO!W$12,OFFSET(CÁLCULO!$AB$15:$AL$15,$F44,0,OFFSET(ORÇAMENTO!$D$15,CRONO!$F44,0)))
                +IF(AND($F46&lt;&gt;"",$F46&lt;&gt;0),
                        SUMIF(CÁLCULO!$AM$15:$AW$59,CRONO!W$12,CÁLCULO!$AB$15:$AL$59)/(ORÇAMENTO!$X$15-CÁLCULO.TotalAdmLocal)*CRONO!$F46,
                        0),
                 W45*$S44),
          SUMIF(OFFSET($S46,1,0,$R44-2),($M44+1)&amp;"$",OFFSET(W46,1,0,$R44-2)))</f>
        <v>0</v>
      </c>
      <c r="X46" s="443" t="n">
        <f aca="true" t="array" ref="X46:X46">IF($R44=2,
         IF(AND(ACOMPANHAMENTO="PLE",ISNUMBER($F44)),
                SUMIF((OFFSET(CÁLCULO!$AM$15:$AW$15,$F44,0,OFFSET(ORÇAMENTO!$D$15,CRONO!$F44,0))),CRONO!X$12,OFFSET(CÁLCULO!$AB$15:$AL$15,$F44,0,OFFSET(ORÇAMENTO!$D$15,CRONO!$F44,0)))
                +IF(AND($F46&lt;&gt;"",$F46&lt;&gt;0),
                        SUMIF(CÁLCULO!$AM$15:$AW$59,CRONO!X$12,CÁLCULO!$AB$15:$AL$59)/(ORÇAMENTO!$X$15-CÁLCULO.TotalAdmLocal)*CRONO!$F46,
                        0),
                 X45*$S44),
          SUMIF(OFFSET($S46,1,0,$R44-2),($M44+1)&amp;"$",OFFSET(X46,1,0,$R44-2)))</f>
        <v>0</v>
      </c>
      <c r="Y46" s="443" t="n">
        <f aca="true" t="array" ref="Y46:Y46">IF($R44=2,
         IF(AND(ACOMPANHAMENTO="PLE",ISNUMBER($F44)),
                SUMIF((OFFSET(CÁLCULO!$AM$15:$AW$15,$F44,0,OFFSET(ORÇAMENTO!$D$15,CRONO!$F44,0))),CRONO!Y$12,OFFSET(CÁLCULO!$AB$15:$AL$15,$F44,0,OFFSET(ORÇAMENTO!$D$15,CRONO!$F44,0)))
                +IF(AND($F46&lt;&gt;"",$F46&lt;&gt;0),
                        SUMIF(CÁLCULO!$AM$15:$AW$59,CRONO!Y$12,CÁLCULO!$AB$15:$AL$59)/(ORÇAMENTO!$X$15-CÁLCULO.TotalAdmLocal)*CRONO!$F46,
                        0),
                 Y45*$S44),
          SUMIF(OFFSET($S46,1,0,$R44-2),($M44+1)&amp;"$",OFFSET(Y46,1,0,$R44-2)))</f>
        <v>0</v>
      </c>
      <c r="Z46" s="443" t="n">
        <f aca="true" t="array" ref="Z46:Z46">IF($R44=2,
         IF(AND(ACOMPANHAMENTO="PLE",ISNUMBER($F44)),
                SUMIF((OFFSET(CÁLCULO!$AM$15:$AW$15,$F44,0,OFFSET(ORÇAMENTO!$D$15,CRONO!$F44,0))),CRONO!Z$12,OFFSET(CÁLCULO!$AB$15:$AL$15,$F44,0,OFFSET(ORÇAMENTO!$D$15,CRONO!$F44,0)))
                +IF(AND($F46&lt;&gt;"",$F46&lt;&gt;0),
                        SUMIF(CÁLCULO!$AM$15:$AW$59,CRONO!Z$12,CÁLCULO!$AB$15:$AL$59)/(ORÇAMENTO!$X$15-CÁLCULO.TotalAdmLocal)*CRONO!$F46,
                        0),
                 Z45*$S44),
          SUMIF(OFFSET($S46,1,0,$R44-2),($M44+1)&amp;"$",OFFSET(Z46,1,0,$R44-2)))</f>
        <v>0</v>
      </c>
      <c r="AA46" s="443" t="n">
        <f aca="true" t="array" ref="AA46:AA46">IF($R44=2,
         IF(AND(ACOMPANHAMENTO="PLE",ISNUMBER($F44)),
                SUMIF((OFFSET(CÁLCULO!$AM$15:$AW$15,$F44,0,OFFSET(ORÇAMENTO!$D$15,CRONO!$F44,0))),CRONO!AA$12,OFFSET(CÁLCULO!$AB$15:$AL$15,$F44,0,OFFSET(ORÇAMENTO!$D$15,CRONO!$F44,0)))
                +IF(AND($F46&lt;&gt;"",$F46&lt;&gt;0),
                        SUMIF(CÁLCULO!$AM$15:$AW$59,CRONO!AA$12,CÁLCULO!$AB$15:$AL$59)/(ORÇAMENTO!$X$15-CÁLCULO.TotalAdmLocal)*CRONO!$F46,
                        0),
                 AA45*$S44),
          SUMIF(OFFSET($S46,1,0,$R44-2),($M44+1)&amp;"$",OFFSET(AA46,1,0,$R44-2)))</f>
        <v>0</v>
      </c>
      <c r="AB46" s="443" t="n">
        <f aca="true" t="array" ref="AB46:AB46">IF($R44=2,
         IF(AND(ACOMPANHAMENTO="PLE",ISNUMBER($F44)),
                SUMIF((OFFSET(CÁLCULO!$AM$15:$AW$15,$F44,0,OFFSET(ORÇAMENTO!$D$15,CRONO!$F44,0))),CRONO!AB$12,OFFSET(CÁLCULO!$AB$15:$AL$15,$F44,0,OFFSET(ORÇAMENTO!$D$15,CRONO!$F44,0)))
                +IF(AND($F46&lt;&gt;"",$F46&lt;&gt;0),
                        SUMIF(CÁLCULO!$AM$15:$AW$59,CRONO!AB$12,CÁLCULO!$AB$15:$AL$59)/(ORÇAMENTO!$X$15-CÁLCULO.TotalAdmLocal)*CRONO!$F46,
                        0),
                 AB45*$S44),
          SUMIF(OFFSET($S46,1,0,$R44-2),($M44+1)&amp;"$",OFFSET(AB46,1,0,$R44-2)))</f>
        <v>0</v>
      </c>
      <c r="AC46" s="443" t="n">
        <f aca="true" t="array" ref="AC46:AC46">IF($R44=2,
         IF(AND(ACOMPANHAMENTO="PLE",ISNUMBER($F44)),
                SUMIF((OFFSET(CÁLCULO!$AM$15:$AW$15,$F44,0,OFFSET(ORÇAMENTO!$D$15,CRONO!$F44,0))),CRONO!AC$12,OFFSET(CÁLCULO!$AB$15:$AL$15,$F44,0,OFFSET(ORÇAMENTO!$D$15,CRONO!$F44,0)))
                +IF(AND($F46&lt;&gt;"",$F46&lt;&gt;0),
                        SUMIF(CÁLCULO!$AM$15:$AW$59,CRONO!AC$12,CÁLCULO!$AB$15:$AL$59)/(ORÇAMENTO!$X$15-CÁLCULO.TotalAdmLocal)*CRONO!$F46,
                        0),
                 AC45*$S44),
          SUMIF(OFFSET($S46,1,0,$R44-2),($M44+1)&amp;"$",OFFSET(AC46,1,0,$R44-2)))</f>
        <v>0</v>
      </c>
      <c r="AD46" s="443" t="n">
        <f aca="true" t="array" ref="AD46:AD46">IF($R44=2,
         IF(AND(ACOMPANHAMENTO="PLE",ISNUMBER($F44)),
                SUMIF((OFFSET(CÁLCULO!$AM$15:$AW$15,$F44,0,OFFSET(ORÇAMENTO!$D$15,CRONO!$F44,0))),CRONO!AD$12,OFFSET(CÁLCULO!$AB$15:$AL$15,$F44,0,OFFSET(ORÇAMENTO!$D$15,CRONO!$F44,0)))
                +IF(AND($F46&lt;&gt;"",$F46&lt;&gt;0),
                        SUMIF(CÁLCULO!$AM$15:$AW$59,CRONO!AD$12,CÁLCULO!$AB$15:$AL$59)/(ORÇAMENTO!$X$15-CÁLCULO.TotalAdmLocal)*CRONO!$F46,
                        0),
                 AD45*$S44),
          SUMIF(OFFSET($S46,1,0,$R44-2),($M44+1)&amp;"$",OFFSET(AD46,1,0,$R44-2)))</f>
        <v>0</v>
      </c>
      <c r="AE46" s="443" t="n">
        <f aca="true" t="array" ref="AE46:AE46">IF($R44=2,
         IF(AND(ACOMPANHAMENTO="PLE",ISNUMBER($F44)),
                SUMIF((OFFSET(CÁLCULO!$AM$15:$AW$15,$F44,0,OFFSET(ORÇAMENTO!$D$15,CRONO!$F44,0))),CRONO!AE$12,OFFSET(CÁLCULO!$AB$15:$AL$15,$F44,0,OFFSET(ORÇAMENTO!$D$15,CRONO!$F44,0)))
                +IF(AND($F46&lt;&gt;"",$F46&lt;&gt;0),
                        SUMIF(CÁLCULO!$AM$15:$AW$59,CRONO!AE$12,CÁLCULO!$AB$15:$AL$59)/(ORÇAMENTO!$X$15-CÁLCULO.TotalAdmLocal)*CRONO!$F46,
                        0),
                 AE45*$S44),
          SUMIF(OFFSET($S46,1,0,$R44-2),($M44+1)&amp;"$",OFFSET(AE46,1,0,$R44-2)))</f>
        <v>0</v>
      </c>
      <c r="AF46" s="443" t="n">
        <f aca="true" t="array" ref="AF46:AF46">IF($R44=2,
         IF(AND(ACOMPANHAMENTO="PLE",ISNUMBER($F44)),
                SUMIF((OFFSET(CÁLCULO!$AM$15:$AW$15,$F44,0,OFFSET(ORÇAMENTO!$D$15,CRONO!$F44,0))),CRONO!AF$12,OFFSET(CÁLCULO!$AB$15:$AL$15,$F44,0,OFFSET(ORÇAMENTO!$D$15,CRONO!$F44,0)))
                +IF(AND($F46&lt;&gt;"",$F46&lt;&gt;0),
                        SUMIF(CÁLCULO!$AM$15:$AW$59,CRONO!AF$12,CÁLCULO!$AB$15:$AL$59)/(ORÇAMENTO!$X$15-CÁLCULO.TotalAdmLocal)*CRONO!$F46,
                        0),
                 AF45*$S44),
          SUMIF(OFFSET($S46,1,0,$R44-2),($M44+1)&amp;"$",OFFSET(AF46,1,0,$R44-2)))</f>
        <v>0</v>
      </c>
      <c r="AG46" s="434"/>
    </row>
    <row r="47" customFormat="false" ht="12.75" hidden="false" customHeight="false" outlineLevel="0" collapsed="false">
      <c r="A47" s="384" t="str">
        <f aca="false">IF($M47&gt;1,_xlfn.CONCAT($I47," ",$J47),"")</f>
        <v>1.11. ILUMINAÇÃO</v>
      </c>
      <c r="B47" s="423" t="n">
        <f aca="true">OFFSET(B47,-3,0)+1</f>
        <v>12</v>
      </c>
      <c r="C47" s="423" t="n">
        <f aca="true">IF($R47&lt;&gt;2,0,IF($S47=0,1,IF(F48&gt;0,OFFSET(QCI!$M$13,SUBSTITUTE(F48,".",""),0),OFFSET(ORÇAMENTO!$AA$15,CRONO!$F47,0))/$S47))</f>
        <v>1</v>
      </c>
      <c r="D47" s="423" t="n">
        <f aca="true">IF($R47&lt;&gt;2,0,IF($S47=0,1,IF(F48&gt;0,OFFSET(QCI!$N$13,SUBSTITUTE(F48,".",""),0),OFFSET(ORÇAMENTO!$AB$15,CRONO!$F47,0))/$S47))</f>
        <v>1</v>
      </c>
      <c r="E47" s="426" t="n">
        <f aca="false" t="array" ref="E47:E47">IF(AND($R47=2,ACOMPANHAMENTO="BM"),ROUND(E48,4),E49/$S47)</f>
        <v>0</v>
      </c>
      <c r="F47" s="423" t="n">
        <f aca="true" t="array" ref="F47:F47">IF(B47&lt;=ORÇAMENTO.MáximoListaCrono,MATCH(B47,ORÇAMENTO.ListaCrono,0),NA())</f>
        <v>40</v>
      </c>
      <c r="G47" s="423" t="str">
        <f aca="false">IF(AND($F48&lt;&gt;-1,$S47&gt;0),"F","")</f>
        <v/>
      </c>
      <c r="H47" s="427" t="str">
        <f aca="false" t="array" ref="H47:H47">IF(OR(S47=0,S47=""),"Linha",IF(AND(OR(ACOMPANHAMENTO="PLE",$R47&lt;&gt;2),$F48=0),"Linha",ROUND(1-SUM(U47:AG47),4)))</f>
        <v>Linha</v>
      </c>
      <c r="I47" s="428" t="str">
        <f aca="true">IF($F48=0,OFFSET(ORÇAMENTO!O$15,$F47,0),IF($F48&lt;&gt;-1,OFFSET(QCI!$D$13,$F48,0),""))</f>
        <v>1.11.</v>
      </c>
      <c r="J47" s="429" t="str">
        <f aca="true">IF($F48=0,OFFSET(ORÇAMENTO!R$15,$F47,0),IF($F48&lt;&gt;-1,OFFSET(QCI!$G$13,$F48,0),""))</f>
        <v>ILUMINAÇÃO</v>
      </c>
      <c r="K47" s="429"/>
      <c r="L47" s="429"/>
      <c r="M47" s="430" t="n">
        <f aca="true">IF($F48=0,OFFSET(ORÇAMENTO!C$15,$F47,0),1)</f>
        <v>2</v>
      </c>
      <c r="N47" s="431" t="n">
        <f aca="true">IF($F48=-1,0,IF(N$13&lt;=$M47,IF(ISERROR(MATCH(N$13,OFFSET($M47,1,0,ROW($M$50)-ROW($M47)-1),0)),ROW($M$50)-ROW($M47)-1,MATCH(N$13,OFFSET($M47,1,0,ROW($M$50)-ROW($M47)-1),0)-1),0))</f>
        <v>2</v>
      </c>
      <c r="O47" s="431" t="n">
        <f aca="true">IF($F48=-1,0,IF(O$13&lt;=$M47,IF(ISERROR(MATCH(O$13,OFFSET($M47,1,0,ROW($M$50)-ROW($M47)-1),0)),ROW($M$50)-ROW($M47)-1,MATCH(O$13,OFFSET($M47,1,0,ROW($M$50)-ROW($M47)-1),0)-1),0))</f>
        <v>2</v>
      </c>
      <c r="P47" s="431" t="n">
        <f aca="true">IF($F48=-1,0,IF(P$13&lt;=$M47,IF(ISERROR(MATCH(P$13,OFFSET($M47,1,0,ROW($M$50)-ROW($M47)-1),0)),ROW($M$50)-ROW($M47)-1,MATCH(P$13,OFFSET($M47,1,0,ROW($M$50)-ROW($M47)-1),0)-1),0))</f>
        <v>0</v>
      </c>
      <c r="Q47" s="431" t="n">
        <f aca="true">IF($F48=-1,0,IF(Q$13&lt;=$M47,IF(ISERROR(MATCH(Q$13,OFFSET($M47,1,0,ROW($M$50)-ROW($M47)-1),0)),ROW($M$50)-ROW($M47)-1,MATCH(Q$13,OFFSET($M47,1,0,ROW($M$50)-ROW($M47)-1),0)-1),0))</f>
        <v>0</v>
      </c>
      <c r="R47" s="431" t="n">
        <f aca="true">MIN(OFFSET(M47,0,1,,M47))</f>
        <v>2</v>
      </c>
      <c r="S47" s="432" t="n">
        <f aca="true">IF($F48=0,OFFSET(ORÇAMENTO!X$15,$F47,0),IF($F48&lt;&gt;-1,OFFSET(QCI!$O$13,$F48,0),""))</f>
        <v>0</v>
      </c>
      <c r="T47" s="433" t="s">
        <v>924</v>
      </c>
      <c r="U47" s="426" t="n">
        <f aca="false" t="array" ref="U47:U47">IF(AND($R47=2,ACOMPANHAMENTO="BM"),ROUND(U48,4),U49/$S47)</f>
        <v>0</v>
      </c>
      <c r="V47" s="426" t="n">
        <f aca="false" t="array" ref="V47:V47">IF(AND($R47=2,ACOMPANHAMENTO="BM"),ROUND(V48,4),V49/$S47)</f>
        <v>0</v>
      </c>
      <c r="W47" s="426" t="n">
        <f aca="false" t="array" ref="W47:W47">IF(AND($R47=2,ACOMPANHAMENTO="BM"),ROUND(W48,4),W49/$S47)</f>
        <v>0</v>
      </c>
      <c r="X47" s="426" t="n">
        <f aca="false" t="array" ref="X47:X47">IF(AND($R47=2,ACOMPANHAMENTO="BM"),ROUND(X48,4),X49/$S47)</f>
        <v>0</v>
      </c>
      <c r="Y47" s="426" t="n">
        <f aca="false" t="array" ref="Y47:Y47">IF(AND($R47=2,ACOMPANHAMENTO="BM"),ROUND(Y48,4),Y49/$S47)</f>
        <v>0</v>
      </c>
      <c r="Z47" s="426" t="n">
        <f aca="false" t="array" ref="Z47:Z47">IF(AND($R47=2,ACOMPANHAMENTO="BM"),ROUND(Z48,4),Z49/$S47)</f>
        <v>0</v>
      </c>
      <c r="AA47" s="426" t="n">
        <f aca="false" t="array" ref="AA47:AA47">IF(AND($R47=2,ACOMPANHAMENTO="BM"),ROUND(AA48,4),AA49/$S47)</f>
        <v>0</v>
      </c>
      <c r="AB47" s="426" t="n">
        <f aca="false" t="array" ref="AB47:AB47">IF(AND($R47=2,ACOMPANHAMENTO="BM"),ROUND(AB48,4),AB49/$S47)</f>
        <v>0</v>
      </c>
      <c r="AC47" s="426" t="n">
        <f aca="false" t="array" ref="AC47:AC47">IF(AND($R47=2,ACOMPANHAMENTO="BM"),ROUND(AC48,4),AC49/$S47)</f>
        <v>0</v>
      </c>
      <c r="AD47" s="426" t="n">
        <f aca="false" t="array" ref="AD47:AD47">IF(AND($R47=2,ACOMPANHAMENTO="BM"),ROUND(AD48,4),AD49/$S47)</f>
        <v>0</v>
      </c>
      <c r="AE47" s="426" t="n">
        <f aca="false" t="array" ref="AE47:AE47">IF(AND($R47=2,ACOMPANHAMENTO="BM"),ROUND(AE48,4),AE49/$S47)</f>
        <v>0.5</v>
      </c>
      <c r="AF47" s="426" t="n">
        <f aca="false" t="array" ref="AF47:AF47">IF(AND($R47=2,ACOMPANHAMENTO="BM"),ROUND(AF48,4),AF49/$S47)</f>
        <v>0.5</v>
      </c>
      <c r="AG47" s="434"/>
    </row>
    <row r="48" customFormat="false" ht="12.75" hidden="false" customHeight="true" outlineLevel="0" collapsed="false">
      <c r="E48" s="435"/>
      <c r="F48" s="423" t="n">
        <f aca="true">IF(ISERROR(F47),IF(1+COUNTIF($M$13:OFFSET(M47,-1,0),1)&lt;=MAX(QCI!$D$13:$D$24),1+COUNTIF($M$13:OFFSET(M47,-1,0),1),-1),0)</f>
        <v>0</v>
      </c>
      <c r="G48" s="423" t="str">
        <f aca="true" t="array" ref="G48:G48">IF(ACOMPANHAMENTO="BM",OFFSET(G48,-1,0),"")</f>
        <v/>
      </c>
      <c r="H48" s="436" t="str">
        <f aca="false" t="array" ref="H48:H48">IF(OR(S47=0,S47=""),"vazia",IF(AND(OR(ACOMPANHAMENTO="PLE",$R47&lt;&gt;2),$F48=0),"calculada","--&gt;"))</f>
        <v>vazia</v>
      </c>
      <c r="I48" s="437"/>
      <c r="J48" s="438" t="str">
        <f aca="false">IF(AND(H47&lt;&gt;0,ISNUMBER(H47)),"PREENCHA ESTA LINHA --&gt;","")</f>
        <v/>
      </c>
      <c r="K48" s="438"/>
      <c r="L48" s="438"/>
      <c r="M48" s="439"/>
      <c r="N48" s="439"/>
      <c r="O48" s="439"/>
      <c r="P48" s="439"/>
      <c r="Q48" s="439"/>
      <c r="R48" s="439"/>
      <c r="S48" s="440"/>
      <c r="T48" s="441"/>
      <c r="U48" s="435"/>
      <c r="V48" s="435"/>
      <c r="W48" s="435"/>
      <c r="X48" s="435"/>
      <c r="Y48" s="435"/>
      <c r="Z48" s="435"/>
      <c r="AA48" s="435"/>
      <c r="AB48" s="435"/>
      <c r="AC48" s="435"/>
      <c r="AD48" s="435"/>
      <c r="AE48" s="435" t="n">
        <v>0.5</v>
      </c>
      <c r="AF48" s="435" t="n">
        <v>0.5</v>
      </c>
      <c r="AG48" s="434"/>
    </row>
    <row r="49" customFormat="false" ht="12.75" hidden="true" customHeight="true" outlineLevel="0" collapsed="false">
      <c r="D49" s="442"/>
      <c r="E49" s="443" t="n">
        <f aca="true" t="array" ref="E49:E49">IF($R47=2,
         IF(AND(ACOMPANHAMENTO="PLE",ISNUMBER($F47)),
                SUMIF((OFFSET(CÁLCULO!$AM$15:$AW$15,$F47,0,OFFSET(ORÇAMENTO!$D$15,CRONO!$F47,0))),CRONO!E$12,OFFSET(CÁLCULO!$AB$15:$AL$15,$F47,0,OFFSET(ORÇAMENTO!$D$15,CRONO!$F47,0)))
                +IF(AND($F49&lt;&gt;"",$F49&lt;&gt;0),
                        SUMIF(CÁLCULO!$AM$15:$AW$59,CRONO!E$12,CÁLCULO!$AB$15:$AL$59)/(ORÇAMENTO!$X$15-CÁLCULO.TotalAdmLocal)*CRONO!$F49,
                        0),
                 E48*$S47),
          SUMIF(OFFSET($S49,1,0,$R47-2),($M47+1)&amp;"$",OFFSET(E49,1,0,$R47-2)))</f>
        <v>0</v>
      </c>
      <c r="F49" s="423" t="str">
        <f aca="true">IF(OR($R47&lt;&gt;2,AUTOEVENTO&lt;&gt;"manual",$F48&gt;0),"",
        IF(Import.TipoArredondamento="Tradicional",
              SUMIF(OFFSET(CÁLCULO!$M$15,CRONO!$F47,0,OFFSET(ORÇAMENTO!$D$15,CRONO!$F47,0)),1,OFFSET(ORÇAMENTO!$X$15,CRONO!$F47,0,OFFSET(ORÇAMENTO!$D$15,CRONO!$F47,0))),
              0))</f>
        <v/>
      </c>
      <c r="H49" s="444"/>
      <c r="S49" s="445" t="str">
        <f aca="false">M47&amp;"$"</f>
        <v>2$</v>
      </c>
      <c r="T49" s="446"/>
      <c r="U49" s="443" t="n">
        <f aca="true" t="array" ref="U49:U49">IF($R47=2,
         IF(AND(ACOMPANHAMENTO="PLE",ISNUMBER($F47)),
                SUMIF((OFFSET(CÁLCULO!$AM$15:$AW$15,$F47,0,OFFSET(ORÇAMENTO!$D$15,CRONO!$F47,0))),CRONO!U$12,OFFSET(CÁLCULO!$AB$15:$AL$15,$F47,0,OFFSET(ORÇAMENTO!$D$15,CRONO!$F47,0)))
                +IF(AND($F49&lt;&gt;"",$F49&lt;&gt;0),
                        SUMIF(CÁLCULO!$AM$15:$AW$59,CRONO!U$12,CÁLCULO!$AB$15:$AL$59)/(ORÇAMENTO!$X$15-CÁLCULO.TotalAdmLocal)*CRONO!$F49,
                        0),
                 U48*$S47),
          SUMIF(OFFSET($S49,1,0,$R47-2),($M47+1)&amp;"$",OFFSET(U49,1,0,$R47-2)))</f>
        <v>0</v>
      </c>
      <c r="V49" s="443" t="n">
        <f aca="true" t="array" ref="V49:V49">IF($R47=2,
         IF(AND(ACOMPANHAMENTO="PLE",ISNUMBER($F47)),
                SUMIF((OFFSET(CÁLCULO!$AM$15:$AW$15,$F47,0,OFFSET(ORÇAMENTO!$D$15,CRONO!$F47,0))),CRONO!V$12,OFFSET(CÁLCULO!$AB$15:$AL$15,$F47,0,OFFSET(ORÇAMENTO!$D$15,CRONO!$F47,0)))
                +IF(AND($F49&lt;&gt;"",$F49&lt;&gt;0),
                        SUMIF(CÁLCULO!$AM$15:$AW$59,CRONO!V$12,CÁLCULO!$AB$15:$AL$59)/(ORÇAMENTO!$X$15-CÁLCULO.TotalAdmLocal)*CRONO!$F49,
                        0),
                 V48*$S47),
          SUMIF(OFFSET($S49,1,0,$R47-2),($M47+1)&amp;"$",OFFSET(V49,1,0,$R47-2)))</f>
        <v>0</v>
      </c>
      <c r="W49" s="443" t="n">
        <f aca="true" t="array" ref="W49:W49">IF($R47=2,
         IF(AND(ACOMPANHAMENTO="PLE",ISNUMBER($F47)),
                SUMIF((OFFSET(CÁLCULO!$AM$15:$AW$15,$F47,0,OFFSET(ORÇAMENTO!$D$15,CRONO!$F47,0))),CRONO!W$12,OFFSET(CÁLCULO!$AB$15:$AL$15,$F47,0,OFFSET(ORÇAMENTO!$D$15,CRONO!$F47,0)))
                +IF(AND($F49&lt;&gt;"",$F49&lt;&gt;0),
                        SUMIF(CÁLCULO!$AM$15:$AW$59,CRONO!W$12,CÁLCULO!$AB$15:$AL$59)/(ORÇAMENTO!$X$15-CÁLCULO.TotalAdmLocal)*CRONO!$F49,
                        0),
                 W48*$S47),
          SUMIF(OFFSET($S49,1,0,$R47-2),($M47+1)&amp;"$",OFFSET(W49,1,0,$R47-2)))</f>
        <v>0</v>
      </c>
      <c r="X49" s="443" t="n">
        <f aca="true" t="array" ref="X49:X49">IF($R47=2,
         IF(AND(ACOMPANHAMENTO="PLE",ISNUMBER($F47)),
                SUMIF((OFFSET(CÁLCULO!$AM$15:$AW$15,$F47,0,OFFSET(ORÇAMENTO!$D$15,CRONO!$F47,0))),CRONO!X$12,OFFSET(CÁLCULO!$AB$15:$AL$15,$F47,0,OFFSET(ORÇAMENTO!$D$15,CRONO!$F47,0)))
                +IF(AND($F49&lt;&gt;"",$F49&lt;&gt;0),
                        SUMIF(CÁLCULO!$AM$15:$AW$59,CRONO!X$12,CÁLCULO!$AB$15:$AL$59)/(ORÇAMENTO!$X$15-CÁLCULO.TotalAdmLocal)*CRONO!$F49,
                        0),
                 X48*$S47),
          SUMIF(OFFSET($S49,1,0,$R47-2),($M47+1)&amp;"$",OFFSET(X49,1,0,$R47-2)))</f>
        <v>0</v>
      </c>
      <c r="Y49" s="443" t="n">
        <f aca="true" t="array" ref="Y49:Y49">IF($R47=2,
         IF(AND(ACOMPANHAMENTO="PLE",ISNUMBER($F47)),
                SUMIF((OFFSET(CÁLCULO!$AM$15:$AW$15,$F47,0,OFFSET(ORÇAMENTO!$D$15,CRONO!$F47,0))),CRONO!Y$12,OFFSET(CÁLCULO!$AB$15:$AL$15,$F47,0,OFFSET(ORÇAMENTO!$D$15,CRONO!$F47,0)))
                +IF(AND($F49&lt;&gt;"",$F49&lt;&gt;0),
                        SUMIF(CÁLCULO!$AM$15:$AW$59,CRONO!Y$12,CÁLCULO!$AB$15:$AL$59)/(ORÇAMENTO!$X$15-CÁLCULO.TotalAdmLocal)*CRONO!$F49,
                        0),
                 Y48*$S47),
          SUMIF(OFFSET($S49,1,0,$R47-2),($M47+1)&amp;"$",OFFSET(Y49,1,0,$R47-2)))</f>
        <v>0</v>
      </c>
      <c r="Z49" s="443" t="n">
        <f aca="true" t="array" ref="Z49:Z49">IF($R47=2,
         IF(AND(ACOMPANHAMENTO="PLE",ISNUMBER($F47)),
                SUMIF((OFFSET(CÁLCULO!$AM$15:$AW$15,$F47,0,OFFSET(ORÇAMENTO!$D$15,CRONO!$F47,0))),CRONO!Z$12,OFFSET(CÁLCULO!$AB$15:$AL$15,$F47,0,OFFSET(ORÇAMENTO!$D$15,CRONO!$F47,0)))
                +IF(AND($F49&lt;&gt;"",$F49&lt;&gt;0),
                        SUMIF(CÁLCULO!$AM$15:$AW$59,CRONO!Z$12,CÁLCULO!$AB$15:$AL$59)/(ORÇAMENTO!$X$15-CÁLCULO.TotalAdmLocal)*CRONO!$F49,
                        0),
                 Z48*$S47),
          SUMIF(OFFSET($S49,1,0,$R47-2),($M47+1)&amp;"$",OFFSET(Z49,1,0,$R47-2)))</f>
        <v>0</v>
      </c>
      <c r="AA49" s="443" t="n">
        <f aca="true" t="array" ref="AA49:AA49">IF($R47=2,
         IF(AND(ACOMPANHAMENTO="PLE",ISNUMBER($F47)),
                SUMIF((OFFSET(CÁLCULO!$AM$15:$AW$15,$F47,0,OFFSET(ORÇAMENTO!$D$15,CRONO!$F47,0))),CRONO!AA$12,OFFSET(CÁLCULO!$AB$15:$AL$15,$F47,0,OFFSET(ORÇAMENTO!$D$15,CRONO!$F47,0)))
                +IF(AND($F49&lt;&gt;"",$F49&lt;&gt;0),
                        SUMIF(CÁLCULO!$AM$15:$AW$59,CRONO!AA$12,CÁLCULO!$AB$15:$AL$59)/(ORÇAMENTO!$X$15-CÁLCULO.TotalAdmLocal)*CRONO!$F49,
                        0),
                 AA48*$S47),
          SUMIF(OFFSET($S49,1,0,$R47-2),($M47+1)&amp;"$",OFFSET(AA49,1,0,$R47-2)))</f>
        <v>0</v>
      </c>
      <c r="AB49" s="443" t="n">
        <f aca="true" t="array" ref="AB49:AB49">IF($R47=2,
         IF(AND(ACOMPANHAMENTO="PLE",ISNUMBER($F47)),
                SUMIF((OFFSET(CÁLCULO!$AM$15:$AW$15,$F47,0,OFFSET(ORÇAMENTO!$D$15,CRONO!$F47,0))),CRONO!AB$12,OFFSET(CÁLCULO!$AB$15:$AL$15,$F47,0,OFFSET(ORÇAMENTO!$D$15,CRONO!$F47,0)))
                +IF(AND($F49&lt;&gt;"",$F49&lt;&gt;0),
                        SUMIF(CÁLCULO!$AM$15:$AW$59,CRONO!AB$12,CÁLCULO!$AB$15:$AL$59)/(ORÇAMENTO!$X$15-CÁLCULO.TotalAdmLocal)*CRONO!$F49,
                        0),
                 AB48*$S47),
          SUMIF(OFFSET($S49,1,0,$R47-2),($M47+1)&amp;"$",OFFSET(AB49,1,0,$R47-2)))</f>
        <v>0</v>
      </c>
      <c r="AC49" s="443" t="n">
        <f aca="true" t="array" ref="AC49:AC49">IF($R47=2,
         IF(AND(ACOMPANHAMENTO="PLE",ISNUMBER($F47)),
                SUMIF((OFFSET(CÁLCULO!$AM$15:$AW$15,$F47,0,OFFSET(ORÇAMENTO!$D$15,CRONO!$F47,0))),CRONO!AC$12,OFFSET(CÁLCULO!$AB$15:$AL$15,$F47,0,OFFSET(ORÇAMENTO!$D$15,CRONO!$F47,0)))
                +IF(AND($F49&lt;&gt;"",$F49&lt;&gt;0),
                        SUMIF(CÁLCULO!$AM$15:$AW$59,CRONO!AC$12,CÁLCULO!$AB$15:$AL$59)/(ORÇAMENTO!$X$15-CÁLCULO.TotalAdmLocal)*CRONO!$F49,
                        0),
                 AC48*$S47),
          SUMIF(OFFSET($S49,1,0,$R47-2),($M47+1)&amp;"$",OFFSET(AC49,1,0,$R47-2)))</f>
        <v>0</v>
      </c>
      <c r="AD49" s="443" t="n">
        <f aca="true" t="array" ref="AD49:AD49">IF($R47=2,
         IF(AND(ACOMPANHAMENTO="PLE",ISNUMBER($F47)),
                SUMIF((OFFSET(CÁLCULO!$AM$15:$AW$15,$F47,0,OFFSET(ORÇAMENTO!$D$15,CRONO!$F47,0))),CRONO!AD$12,OFFSET(CÁLCULO!$AB$15:$AL$15,$F47,0,OFFSET(ORÇAMENTO!$D$15,CRONO!$F47,0)))
                +IF(AND($F49&lt;&gt;"",$F49&lt;&gt;0),
                        SUMIF(CÁLCULO!$AM$15:$AW$59,CRONO!AD$12,CÁLCULO!$AB$15:$AL$59)/(ORÇAMENTO!$X$15-CÁLCULO.TotalAdmLocal)*CRONO!$F49,
                        0),
                 AD48*$S47),
          SUMIF(OFFSET($S49,1,0,$R47-2),($M47+1)&amp;"$",OFFSET(AD49,1,0,$R47-2)))</f>
        <v>0</v>
      </c>
      <c r="AE49" s="443" t="n">
        <f aca="true" t="array" ref="AE49:AE49">IF($R47=2,
         IF(AND(ACOMPANHAMENTO="PLE",ISNUMBER($F47)),
                SUMIF((OFFSET(CÁLCULO!$AM$15:$AW$15,$F47,0,OFFSET(ORÇAMENTO!$D$15,CRONO!$F47,0))),CRONO!AE$12,OFFSET(CÁLCULO!$AB$15:$AL$15,$F47,0,OFFSET(ORÇAMENTO!$D$15,CRONO!$F47,0)))
                +IF(AND($F49&lt;&gt;"",$F49&lt;&gt;0),
                        SUMIF(CÁLCULO!$AM$15:$AW$59,CRONO!AE$12,CÁLCULO!$AB$15:$AL$59)/(ORÇAMENTO!$X$15-CÁLCULO.TotalAdmLocal)*CRONO!$F49,
                        0),
                 AE48*$S47),
          SUMIF(OFFSET($S49,1,0,$R47-2),($M47+1)&amp;"$",OFFSET(AE49,1,0,$R47-2)))</f>
        <v>0</v>
      </c>
      <c r="AF49" s="443" t="n">
        <f aca="true" t="array" ref="AF49:AF49">IF($R47=2,
         IF(AND(ACOMPANHAMENTO="PLE",ISNUMBER($F47)),
                SUMIF((OFFSET(CÁLCULO!$AM$15:$AW$15,$F47,0,OFFSET(ORÇAMENTO!$D$15,CRONO!$F47,0))),CRONO!AF$12,OFFSET(CÁLCULO!$AB$15:$AL$15,$F47,0,OFFSET(ORÇAMENTO!$D$15,CRONO!$F47,0)))
                +IF(AND($F49&lt;&gt;"",$F49&lt;&gt;0),
                        SUMIF(CÁLCULO!$AM$15:$AW$59,CRONO!AF$12,CÁLCULO!$AB$15:$AL$59)/(ORÇAMENTO!$X$15-CÁLCULO.TotalAdmLocal)*CRONO!$F49,
                        0),
                 AF48*$S47),
          SUMIF(OFFSET($S49,1,0,$R47-2),($M47+1)&amp;"$",OFFSET(AF49,1,0,$R47-2)))</f>
        <v>0</v>
      </c>
      <c r="AG49" s="434"/>
    </row>
    <row r="50" customFormat="false" ht="4.5" hidden="false" customHeight="true" outlineLevel="0" collapsed="false">
      <c r="E50" s="478"/>
      <c r="G50" s="423" t="s">
        <v>596</v>
      </c>
      <c r="H50" s="479"/>
      <c r="I50" s="480"/>
      <c r="J50" s="481"/>
      <c r="K50" s="481"/>
      <c r="L50" s="481"/>
      <c r="M50" s="482" t="s">
        <v>936</v>
      </c>
      <c r="N50" s="482"/>
      <c r="O50" s="482"/>
      <c r="P50" s="482"/>
      <c r="Q50" s="482"/>
      <c r="R50" s="482"/>
      <c r="S50" s="483"/>
      <c r="T50" s="483"/>
      <c r="U50" s="481"/>
      <c r="V50" s="481"/>
      <c r="W50" s="481"/>
      <c r="X50" s="481"/>
      <c r="Y50" s="481"/>
      <c r="Z50" s="481"/>
      <c r="AA50" s="481"/>
      <c r="AB50" s="481"/>
      <c r="AC50" s="481"/>
      <c r="AD50" s="481"/>
      <c r="AE50" s="481"/>
      <c r="AF50" s="481"/>
      <c r="AG50" s="434"/>
    </row>
    <row r="51" customFormat="false" ht="12.75" hidden="false" customHeight="true" outlineLevel="0" collapsed="false">
      <c r="E51" s="484" t="e">
        <f aca="false">E55/$R$51</f>
        <v>#DIV/0!</v>
      </c>
      <c r="G51" s="423" t="s">
        <v>596</v>
      </c>
      <c r="I51" s="485" t="str">
        <f aca="false">"Total:    R$ "&amp;TEXT(R51,"#.##0,00")</f>
        <v>Total:    R$ 0,00</v>
      </c>
      <c r="J51" s="485"/>
      <c r="K51" s="485"/>
      <c r="L51" s="486"/>
      <c r="R51" s="487" t="n">
        <f aca="false">SUMIF(M12:M50,1,S12:S50)</f>
        <v>0</v>
      </c>
      <c r="S51" s="488"/>
      <c r="T51" s="489" t="s">
        <v>937</v>
      </c>
      <c r="U51" s="484" t="e">
        <f aca="false">ROUND(U55,2)/$R$51</f>
        <v>#DIV/0!</v>
      </c>
      <c r="V51" s="484" t="e">
        <f aca="false">ROUND(V55,2)/$R$51</f>
        <v>#DIV/0!</v>
      </c>
      <c r="W51" s="484" t="e">
        <f aca="false">ROUND(W55,2)/$R$51</f>
        <v>#DIV/0!</v>
      </c>
      <c r="X51" s="484" t="e">
        <f aca="false">ROUND(X55,2)/$R$51</f>
        <v>#DIV/0!</v>
      </c>
      <c r="Y51" s="484" t="e">
        <f aca="false">ROUND(Y55,2)/$R$51</f>
        <v>#DIV/0!</v>
      </c>
      <c r="Z51" s="484" t="e">
        <f aca="false">ROUND(Z55,2)/$R$51</f>
        <v>#DIV/0!</v>
      </c>
      <c r="AA51" s="484" t="e">
        <f aca="false">ROUND(AA55,2)/$R$51</f>
        <v>#DIV/0!</v>
      </c>
      <c r="AB51" s="484" t="e">
        <f aca="false">ROUND(AB55,2)/$R$51</f>
        <v>#DIV/0!</v>
      </c>
      <c r="AC51" s="484" t="e">
        <f aca="false">ROUND(AC55,2)/$R$51</f>
        <v>#DIV/0!</v>
      </c>
      <c r="AD51" s="484" t="e">
        <f aca="false">ROUND(AD55,2)/$R$51</f>
        <v>#DIV/0!</v>
      </c>
      <c r="AE51" s="484" t="e">
        <f aca="false">ROUND(AE55,2)/$R$51</f>
        <v>#DIV/0!</v>
      </c>
      <c r="AF51" s="490" t="e">
        <f aca="false">ROUND(AF55,2)/$R$51</f>
        <v>#DIV/0!</v>
      </c>
      <c r="AG51" s="434"/>
    </row>
    <row r="52" customFormat="false" ht="15" hidden="false" customHeight="true" outlineLevel="0" collapsed="false">
      <c r="E52" s="491" t="n">
        <f aca="false">IF(E$12=1,ROUND(E57,2),ROUND(E57,2)-ROUND(D57,2))</f>
        <v>0</v>
      </c>
      <c r="G52" s="423" t="s">
        <v>596</v>
      </c>
      <c r="I52" s="485"/>
      <c r="J52" s="485"/>
      <c r="K52" s="485"/>
      <c r="L52" s="492"/>
      <c r="R52" s="487"/>
      <c r="S52" s="493"/>
      <c r="T52" s="494" t="str">
        <f aca="false">IF(import.recurso="FGTS","Financiamento:","Repasse:")</f>
        <v>Repasse:</v>
      </c>
      <c r="U52" s="491" t="n">
        <f aca="false">IF(U$12=1,ROUND(U57,2),ROUND(U57,2)-ROUND(T57,2))</f>
        <v>0</v>
      </c>
      <c r="V52" s="491" t="n">
        <f aca="false">IF(V$12=1,ROUND(V57,2),ROUND(V57,2)-ROUND(U57,2))</f>
        <v>0</v>
      </c>
      <c r="W52" s="491" t="n">
        <f aca="false">IF(W$12=1,ROUND(W57,2),ROUND(W57,2)-ROUND(V57,2))</f>
        <v>0</v>
      </c>
      <c r="X52" s="491" t="n">
        <f aca="false">IF(X$12=1,ROUND(X57,2),ROUND(X57,2)-ROUND(W57,2))</f>
        <v>0</v>
      </c>
      <c r="Y52" s="491" t="n">
        <f aca="false">IF(Y$12=1,ROUND(Y57,2),ROUND(Y57,2)-ROUND(X57,2))</f>
        <v>0</v>
      </c>
      <c r="Z52" s="491" t="n">
        <f aca="false">IF(Z$12=1,ROUND(Z57,2),ROUND(Z57,2)-ROUND(Y57,2))</f>
        <v>0</v>
      </c>
      <c r="AA52" s="491" t="n">
        <f aca="false">IF(AA$12=1,ROUND(AA57,2),ROUND(AA57,2)-ROUND(Z57,2))</f>
        <v>0</v>
      </c>
      <c r="AB52" s="491" t="n">
        <f aca="false">IF(AB$12=1,ROUND(AB57,2),ROUND(AB57,2)-ROUND(AA57,2))</f>
        <v>0</v>
      </c>
      <c r="AC52" s="491" t="n">
        <f aca="false">IF(AC$12=1,ROUND(AC57,2),ROUND(AC57,2)-ROUND(AB57,2))</f>
        <v>0</v>
      </c>
      <c r="AD52" s="491" t="n">
        <f aca="false">IF(AD$12=1,ROUND(AD57,2),ROUND(AD57,2)-ROUND(AC57,2))</f>
        <v>0</v>
      </c>
      <c r="AE52" s="491" t="n">
        <f aca="false">IF(AE$12=1,ROUND(AE57,2),ROUND(AE57,2)-ROUND(AD57,2))</f>
        <v>0</v>
      </c>
      <c r="AF52" s="491" t="n">
        <f aca="false">IF(AF$12=1,ROUND(AF57,2),ROUND(AF57,2)-ROUND(AE57,2))</f>
        <v>0</v>
      </c>
      <c r="AG52" s="434"/>
    </row>
    <row r="53" customFormat="false" ht="12.75" hidden="false" customHeight="true" outlineLevel="0" collapsed="false">
      <c r="E53" s="495" t="n">
        <f aca="false">IF(E$12=1,ROUND(E58,2),ROUND(E58,2)-ROUND(D58,2))</f>
        <v>0</v>
      </c>
      <c r="G53" s="423" t="s">
        <v>596</v>
      </c>
      <c r="I53" s="496"/>
      <c r="L53" s="497" t="s">
        <v>938</v>
      </c>
      <c r="R53" s="487"/>
      <c r="S53" s="498"/>
      <c r="T53" s="499" t="s">
        <v>939</v>
      </c>
      <c r="U53" s="495" t="n">
        <f aca="false">IF(U$12=1,ROUND(U58,2),ROUND(U58,2)-ROUND(T58,2))</f>
        <v>0</v>
      </c>
      <c r="V53" s="495" t="n">
        <f aca="false">IF(V$12=1,ROUND(V58,2),ROUND(V58,2)-ROUND(U58,2))</f>
        <v>0</v>
      </c>
      <c r="W53" s="495" t="n">
        <f aca="false">IF(W$12=1,ROUND(W58,2),ROUND(W58,2)-ROUND(V58,2))</f>
        <v>0</v>
      </c>
      <c r="X53" s="495" t="n">
        <f aca="false">IF(X$12=1,ROUND(X58,2),ROUND(X58,2)-ROUND(W58,2))</f>
        <v>0</v>
      </c>
      <c r="Y53" s="495" t="n">
        <f aca="false">IF(Y$12=1,ROUND(Y58,2),ROUND(Y58,2)-ROUND(X58,2))</f>
        <v>0</v>
      </c>
      <c r="Z53" s="495" t="n">
        <f aca="false">IF(Z$12=1,ROUND(Z58,2),ROUND(Z58,2)-ROUND(Y58,2))</f>
        <v>0</v>
      </c>
      <c r="AA53" s="495" t="n">
        <f aca="false">IF(AA$12=1,ROUND(AA58,2),ROUND(AA58,2)-ROUND(Z58,2))</f>
        <v>0</v>
      </c>
      <c r="AB53" s="495" t="n">
        <f aca="false">IF(AB$12=1,ROUND(AB58,2),ROUND(AB58,2)-ROUND(AA58,2))</f>
        <v>0</v>
      </c>
      <c r="AC53" s="495" t="n">
        <f aca="false">IF(AC$12=1,ROUND(AC58,2),ROUND(AC58,2)-ROUND(AB58,2))</f>
        <v>0</v>
      </c>
      <c r="AD53" s="495" t="n">
        <f aca="false">IF(AD$12=1,ROUND(AD58,2),ROUND(AD58,2)-ROUND(AC58,2))</f>
        <v>0</v>
      </c>
      <c r="AE53" s="495" t="n">
        <f aca="false">IF(AE$12=1,ROUND(AE58,2),ROUND(AE58,2)-ROUND(AD58,2))</f>
        <v>0</v>
      </c>
      <c r="AF53" s="495" t="n">
        <f aca="false">IF(AF$12=1,ROUND(AF58,2),ROUND(AF58,2)-ROUND(AE58,2))</f>
        <v>0</v>
      </c>
      <c r="AG53" s="434"/>
    </row>
    <row r="54" customFormat="false" ht="12.75" hidden="false" customHeight="false" outlineLevel="0" collapsed="false">
      <c r="E54" s="500" t="n">
        <f aca="false">IF(E$12=1,ROUND(E59,2),ROUND(E59,2)-ROUND(D59,2))</f>
        <v>0</v>
      </c>
      <c r="G54" s="423" t="s">
        <v>596</v>
      </c>
      <c r="I54" s="496"/>
      <c r="L54" s="497"/>
      <c r="R54" s="487"/>
      <c r="S54" s="501"/>
      <c r="T54" s="502" t="s">
        <v>940</v>
      </c>
      <c r="U54" s="500" t="n">
        <f aca="false">IF(U$12=1,ROUND(U59,2),ROUND(U59,2)-ROUND(T59,2))</f>
        <v>0</v>
      </c>
      <c r="V54" s="500" t="n">
        <f aca="false">IF(V$12=1,ROUND(V59,2),ROUND(V59,2)-ROUND(U59,2))</f>
        <v>0</v>
      </c>
      <c r="W54" s="500" t="n">
        <f aca="false">IF(W$12=1,ROUND(W59,2),ROUND(W59,2)-ROUND(V59,2))</f>
        <v>0</v>
      </c>
      <c r="X54" s="500" t="n">
        <f aca="false">IF(X$12=1,ROUND(X59,2),ROUND(X59,2)-ROUND(W59,2))</f>
        <v>0</v>
      </c>
      <c r="Y54" s="500" t="n">
        <f aca="false">IF(Y$12=1,ROUND(Y59,2),ROUND(Y59,2)-ROUND(X59,2))</f>
        <v>0</v>
      </c>
      <c r="Z54" s="500" t="n">
        <f aca="false">IF(Z$12=1,ROUND(Z59,2),ROUND(Z59,2)-ROUND(Y59,2))</f>
        <v>0</v>
      </c>
      <c r="AA54" s="500" t="n">
        <f aca="false">IF(AA$12=1,ROUND(AA59,2),ROUND(AA59,2)-ROUND(Z59,2))</f>
        <v>0</v>
      </c>
      <c r="AB54" s="500" t="n">
        <f aca="false">IF(AB$12=1,ROUND(AB59,2),ROUND(AB59,2)-ROUND(AA59,2))</f>
        <v>0</v>
      </c>
      <c r="AC54" s="500" t="n">
        <f aca="false">IF(AC$12=1,ROUND(AC59,2),ROUND(AC59,2)-ROUND(AB59,2))</f>
        <v>0</v>
      </c>
      <c r="AD54" s="500" t="n">
        <f aca="false">IF(AD$12=1,ROUND(AD59,2),ROUND(AD59,2)-ROUND(AC59,2))</f>
        <v>0</v>
      </c>
      <c r="AE54" s="500" t="n">
        <f aca="false">IF(AE$12=1,ROUND(AE59,2),ROUND(AE59,2)-ROUND(AD59,2))</f>
        <v>0</v>
      </c>
      <c r="AF54" s="500" t="n">
        <f aca="false">IF(AF$12=1,ROUND(AF59,2),ROUND(AF59,2)-ROUND(AE59,2))</f>
        <v>0</v>
      </c>
      <c r="AG54" s="434"/>
    </row>
    <row r="55" customFormat="false" ht="12.75" hidden="false" customHeight="false" outlineLevel="0" collapsed="false">
      <c r="E55" s="503" t="n">
        <f aca="false">IF(E$12=1,ROUND(E60,2),ROUND(E60,2)-ROUND(D60,2))</f>
        <v>0</v>
      </c>
      <c r="G55" s="423" t="s">
        <v>596</v>
      </c>
      <c r="H55" s="504"/>
      <c r="L55" s="505"/>
      <c r="S55" s="506"/>
      <c r="T55" s="507" t="s">
        <v>941</v>
      </c>
      <c r="U55" s="503" t="n">
        <f aca="false">IF(U$12=1,ROUND(U60,2),ROUND(U60,2)-ROUND(T60,2))</f>
        <v>0</v>
      </c>
      <c r="V55" s="503" t="n">
        <f aca="false">IF(V$12=1,ROUND(V60,2),ROUND(V60,2)-ROUND(U60,2))</f>
        <v>0</v>
      </c>
      <c r="W55" s="503" t="n">
        <f aca="false">IF(W$12=1,ROUND(W60,2),ROUND(W60,2)-ROUND(V60,2))</f>
        <v>0</v>
      </c>
      <c r="X55" s="503" t="n">
        <f aca="false">IF(X$12=1,ROUND(X60,2),ROUND(X60,2)-ROUND(W60,2))</f>
        <v>0</v>
      </c>
      <c r="Y55" s="503" t="n">
        <f aca="false">IF(Y$12=1,ROUND(Y60,2),ROUND(Y60,2)-ROUND(X60,2))</f>
        <v>0</v>
      </c>
      <c r="Z55" s="503" t="n">
        <f aca="false">IF(Z$12=1,ROUND(Z60,2),ROUND(Z60,2)-ROUND(Y60,2))</f>
        <v>0</v>
      </c>
      <c r="AA55" s="503" t="n">
        <f aca="false">IF(AA$12=1,ROUND(AA60,2),ROUND(AA60,2)-ROUND(Z60,2))</f>
        <v>0</v>
      </c>
      <c r="AB55" s="503" t="n">
        <f aca="false">IF(AB$12=1,ROUND(AB60,2),ROUND(AB60,2)-ROUND(AA60,2))</f>
        <v>0</v>
      </c>
      <c r="AC55" s="503" t="n">
        <f aca="false">IF(AC$12=1,ROUND(AC60,2),ROUND(AC60,2)-ROUND(AB60,2))</f>
        <v>0</v>
      </c>
      <c r="AD55" s="503" t="n">
        <f aca="false">IF(AD$12=1,ROUND(AD60,2),ROUND(AD60,2)-ROUND(AC60,2))</f>
        <v>0</v>
      </c>
      <c r="AE55" s="503" t="n">
        <f aca="false">IF(AE$12=1,ROUND(AE60,2),ROUND(AE60,2)-ROUND(AD60,2))</f>
        <v>0</v>
      </c>
      <c r="AF55" s="503" t="n">
        <f aca="false">IF(AF$12=1,ROUND(AF60,2),ROUND(AF60,2)-ROUND(AE60,2))</f>
        <v>0</v>
      </c>
      <c r="AG55" s="434"/>
    </row>
    <row r="56" customFormat="false" ht="12.75" hidden="false" customHeight="false" outlineLevel="0" collapsed="false">
      <c r="E56" s="484" t="e">
        <f aca="false">ROUND(ROUND(E60,2)/$R$51,4)</f>
        <v>#DIV/0!</v>
      </c>
      <c r="G56" s="423" t="s">
        <v>596</v>
      </c>
      <c r="L56" s="486"/>
      <c r="S56" s="488"/>
      <c r="T56" s="489" t="s">
        <v>937</v>
      </c>
      <c r="U56" s="484" t="e">
        <f aca="false">ROUND(ROUND(U60,2)/$R$51,4)</f>
        <v>#DIV/0!</v>
      </c>
      <c r="V56" s="484" t="e">
        <f aca="false">ROUND(ROUND(V60,2)/$R$51,4)</f>
        <v>#DIV/0!</v>
      </c>
      <c r="W56" s="484" t="e">
        <f aca="false">ROUND(ROUND(W60,2)/$R$51,4)</f>
        <v>#DIV/0!</v>
      </c>
      <c r="X56" s="484" t="e">
        <f aca="false">ROUND(ROUND(X60,2)/$R$51,4)</f>
        <v>#DIV/0!</v>
      </c>
      <c r="Y56" s="484" t="e">
        <f aca="false">ROUND(ROUND(Y60,2)/$R$51,4)</f>
        <v>#DIV/0!</v>
      </c>
      <c r="Z56" s="484" t="e">
        <f aca="false">ROUND(ROUND(Z60,2)/$R$51,4)</f>
        <v>#DIV/0!</v>
      </c>
      <c r="AA56" s="484" t="e">
        <f aca="false">ROUND(ROUND(AA60,2)/$R$51,4)</f>
        <v>#DIV/0!</v>
      </c>
      <c r="AB56" s="484" t="e">
        <f aca="false">ROUND(ROUND(AB60,2)/$R$51,4)</f>
        <v>#DIV/0!</v>
      </c>
      <c r="AC56" s="484" t="e">
        <f aca="false">ROUND(ROUND(AC60,2)/$R$51,4)</f>
        <v>#DIV/0!</v>
      </c>
      <c r="AD56" s="484" t="e">
        <f aca="false">ROUND(ROUND(AD60,2)/$R$51,4)</f>
        <v>#DIV/0!</v>
      </c>
      <c r="AE56" s="484" t="e">
        <f aca="false">ROUND(ROUND(AE60,2)/$R$51,4)</f>
        <v>#DIV/0!</v>
      </c>
      <c r="AF56" s="484" t="e">
        <f aca="false">ROUND(ROUND(AF60,2)/$R$51,4)</f>
        <v>#DIV/0!</v>
      </c>
      <c r="AG56" s="434"/>
    </row>
    <row r="57" customFormat="false" ht="12.75" hidden="false" customHeight="false" outlineLevel="0" collapsed="false">
      <c r="E57" s="491" t="n">
        <f aca="false">ROUND(E60-E59-E58,2)</f>
        <v>0</v>
      </c>
      <c r="G57" s="423" t="s">
        <v>596</v>
      </c>
      <c r="L57" s="492"/>
      <c r="S57" s="493"/>
      <c r="T57" s="494" t="str">
        <f aca="false">IF(import.recurso="FGTS","Financiamento:","Repasse:")</f>
        <v>Repasse:</v>
      </c>
      <c r="U57" s="491" t="n">
        <f aca="false">ROUND(U60-U59-U58,2)</f>
        <v>0</v>
      </c>
      <c r="V57" s="491" t="n">
        <f aca="false">ROUND(V60-V59-V58,2)</f>
        <v>0</v>
      </c>
      <c r="W57" s="491" t="n">
        <f aca="false">ROUND(W60-W59-W58,2)</f>
        <v>0</v>
      </c>
      <c r="X57" s="491" t="n">
        <f aca="false">ROUND(X60-X59-X58,2)</f>
        <v>0</v>
      </c>
      <c r="Y57" s="491" t="n">
        <f aca="false">ROUND(Y60-Y59-Y58,2)</f>
        <v>0</v>
      </c>
      <c r="Z57" s="491" t="n">
        <f aca="false">ROUND(Z60-Z59-Z58,2)</f>
        <v>0</v>
      </c>
      <c r="AA57" s="491" t="n">
        <f aca="false">ROUND(AA60-AA59-AA58,2)</f>
        <v>0</v>
      </c>
      <c r="AB57" s="491" t="n">
        <f aca="false">ROUND(AB60-AB59-AB58,2)</f>
        <v>0</v>
      </c>
      <c r="AC57" s="491" t="n">
        <f aca="false">ROUND(AC60-AC59-AC58,2)</f>
        <v>0</v>
      </c>
      <c r="AD57" s="491" t="n">
        <f aca="false">ROUND(AD60-AD59-AD58,2)</f>
        <v>0</v>
      </c>
      <c r="AE57" s="491" t="n">
        <f aca="false">ROUND(AE60-AE59-AE58,2)</f>
        <v>0</v>
      </c>
      <c r="AF57" s="491" t="n">
        <f aca="false">ROUND(AF60-AF59-AF58,2)</f>
        <v>0</v>
      </c>
      <c r="AG57" s="434"/>
    </row>
    <row r="58" customFormat="false" ht="12.75" hidden="false" customHeight="false" outlineLevel="0" collapsed="false">
      <c r="E58" s="495" t="n">
        <f aca="true" t="array" ref="E58:E58">IF(E$12=1,0,OFFSET(E58,0,-1))+SUM((OFFSET($C$13,1,0):OFFSET($C$50,-3,0))*IF(ISNUMBER(OFFSET(E$11,5,0):OFFSET(E$50,-1,0)),OFFSET(E$11,5,0):OFFSET(E$50,-1,0),0))</f>
        <v>0</v>
      </c>
      <c r="G58" s="423" t="s">
        <v>596</v>
      </c>
      <c r="L58" s="497" t="s">
        <v>942</v>
      </c>
      <c r="S58" s="498"/>
      <c r="T58" s="499" t="s">
        <v>939</v>
      </c>
      <c r="U58" s="495" t="n">
        <f aca="true" t="array" ref="U58:U58">IF(U$12=1,0,OFFSET(U58,0,-1))+SUM((OFFSET($C$13,1,0):OFFSET($C$50,-3,0))*IF(ISNUMBER(OFFSET(U$11,5,0):OFFSET(U$50,-1,0)),OFFSET(U$11,5,0):OFFSET(U$50,-1,0),0))</f>
        <v>0</v>
      </c>
      <c r="V58" s="495" t="n">
        <f aca="true" t="array" ref="V58:V58">IF(V$12=1,0,OFFSET(V58,0,-1))+SUM((OFFSET($C$13,1,0):OFFSET($C$50,-3,0))*IF(ISNUMBER(OFFSET(V$11,5,0):OFFSET(V$50,-1,0)),OFFSET(V$11,5,0):OFFSET(V$50,-1,0),0))</f>
        <v>0</v>
      </c>
      <c r="W58" s="495" t="n">
        <f aca="true" t="array" ref="W58:W58">IF(W$12=1,0,OFFSET(W58,0,-1))+SUM((OFFSET($C$13,1,0):OFFSET($C$50,-3,0))*IF(ISNUMBER(OFFSET(W$11,5,0):OFFSET(W$50,-1,0)),OFFSET(W$11,5,0):OFFSET(W$50,-1,0),0))</f>
        <v>0</v>
      </c>
      <c r="X58" s="495" t="n">
        <f aca="true" t="array" ref="X58:X58">IF(X$12=1,0,OFFSET(X58,0,-1))+SUM((OFFSET($C$13,1,0):OFFSET($C$50,-3,0))*IF(ISNUMBER(OFFSET(X$11,5,0):OFFSET(X$50,-1,0)),OFFSET(X$11,5,0):OFFSET(X$50,-1,0),0))</f>
        <v>0</v>
      </c>
      <c r="Y58" s="495" t="n">
        <f aca="true" t="array" ref="Y58:Y58">IF(Y$12=1,0,OFFSET(Y58,0,-1))+SUM((OFFSET($C$13,1,0):OFFSET($C$50,-3,0))*IF(ISNUMBER(OFFSET(Y$11,5,0):OFFSET(Y$50,-1,0)),OFFSET(Y$11,5,0):OFFSET(Y$50,-1,0),0))</f>
        <v>0</v>
      </c>
      <c r="Z58" s="495" t="n">
        <f aca="true" t="array" ref="Z58:Z58">IF(Z$12=1,0,OFFSET(Z58,0,-1))+SUM((OFFSET($C$13,1,0):OFFSET($C$50,-3,0))*IF(ISNUMBER(OFFSET(Z$11,5,0):OFFSET(Z$50,-1,0)),OFFSET(Z$11,5,0):OFFSET(Z$50,-1,0),0))</f>
        <v>0</v>
      </c>
      <c r="AA58" s="495" t="n">
        <f aca="true" t="array" ref="AA58:AA58">IF(AA$12=1,0,OFFSET(AA58,0,-1))+SUM((OFFSET($C$13,1,0):OFFSET($C$50,-3,0))*IF(ISNUMBER(OFFSET(AA$11,5,0):OFFSET(AA$50,-1,0)),OFFSET(AA$11,5,0):OFFSET(AA$50,-1,0),0))</f>
        <v>0</v>
      </c>
      <c r="AB58" s="495" t="n">
        <f aca="true" t="array" ref="AB58:AB58">IF(AB$12=1,0,OFFSET(AB58,0,-1))+SUM((OFFSET($C$13,1,0):OFFSET($C$50,-3,0))*IF(ISNUMBER(OFFSET(AB$11,5,0):OFFSET(AB$50,-1,0)),OFFSET(AB$11,5,0):OFFSET(AB$50,-1,0),0))</f>
        <v>0</v>
      </c>
      <c r="AC58" s="495" t="n">
        <f aca="true" t="array" ref="AC58:AC58">IF(AC$12=1,0,OFFSET(AC58,0,-1))+SUM((OFFSET($C$13,1,0):OFFSET($C$50,-3,0))*IF(ISNUMBER(OFFSET(AC$11,5,0):OFFSET(AC$50,-1,0)),OFFSET(AC$11,5,0):OFFSET(AC$50,-1,0),0))</f>
        <v>0</v>
      </c>
      <c r="AD58" s="495" t="n">
        <f aca="true" t="array" ref="AD58:AD58">IF(AD$12=1,0,OFFSET(AD58,0,-1))+SUM((OFFSET($C$13,1,0):OFFSET($C$50,-3,0))*IF(ISNUMBER(OFFSET(AD$11,5,0):OFFSET(AD$50,-1,0)),OFFSET(AD$11,5,0):OFFSET(AD$50,-1,0),0))</f>
        <v>0</v>
      </c>
      <c r="AE58" s="495" t="n">
        <f aca="true" t="array" ref="AE58:AE58">IF(AE$12=1,0,OFFSET(AE58,0,-1))+SUM((OFFSET($C$13,1,0):OFFSET($C$50,-3,0))*IF(ISNUMBER(OFFSET(AE$11,5,0):OFFSET(AE$50,-1,0)),OFFSET(AE$11,5,0):OFFSET(AE$50,-1,0),0))</f>
        <v>0</v>
      </c>
      <c r="AF58" s="495" t="n">
        <f aca="true" t="array" ref="AF58:AF58">IF(AF$12=1,0,OFFSET(AF58,0,-1))+SUM((OFFSET($C$13,1,0):OFFSET($C$50,-3,0))*IF(ISNUMBER(OFFSET(AF$11,5,0):OFFSET(AF$50,-1,0)),OFFSET(AF$11,5,0):OFFSET(AF$50,-1,0),0))</f>
        <v>0</v>
      </c>
      <c r="AG58" s="434"/>
    </row>
    <row r="59" customFormat="false" ht="12.75" hidden="false" customHeight="false" outlineLevel="0" collapsed="false">
      <c r="E59" s="500" t="n">
        <f aca="true" t="array" ref="E59:E59">IF(E$12=1,0,OFFSET(E59,0,-1))+SUM((OFFSET($D$13,1,0):OFFSET($D$50,-3,0))*IF(ISNUMBER(OFFSET(E$11,5,0):OFFSET(E$50,-1,0)),OFFSET(E$11,5,0):OFFSET(E$50,-1,0),0))</f>
        <v>0</v>
      </c>
      <c r="G59" s="423" t="s">
        <v>596</v>
      </c>
      <c r="L59" s="497"/>
      <c r="S59" s="501"/>
      <c r="T59" s="502" t="s">
        <v>940</v>
      </c>
      <c r="U59" s="500" t="n">
        <f aca="true" t="array" ref="U59:U59">IF(U$12=1,0,OFFSET(U59,0,-1))+SUM((OFFSET($D$13,1,0):OFFSET($D$50,-3,0))*IF(ISNUMBER(OFFSET(U$11,5,0):OFFSET(U$50,-1,0)),OFFSET(U$11,5,0):OFFSET(U$50,-1,0),0))</f>
        <v>0</v>
      </c>
      <c r="V59" s="500" t="n">
        <f aca="true" t="array" ref="V59:V59">IF(V$12=1,0,OFFSET(V59,0,-1))+SUM((OFFSET($D$13,1,0):OFFSET($D$50,-3,0))*IF(ISNUMBER(OFFSET(V$11,5,0):OFFSET(V$50,-1,0)),OFFSET(V$11,5,0):OFFSET(V$50,-1,0),0))</f>
        <v>0</v>
      </c>
      <c r="W59" s="500" t="n">
        <f aca="true" t="array" ref="W59:W59">IF(W$12=1,0,OFFSET(W59,0,-1))+SUM((OFFSET($D$13,1,0):OFFSET($D$50,-3,0))*IF(ISNUMBER(OFFSET(W$11,5,0):OFFSET(W$50,-1,0)),OFFSET(W$11,5,0):OFFSET(W$50,-1,0),0))</f>
        <v>0</v>
      </c>
      <c r="X59" s="500" t="n">
        <f aca="true" t="array" ref="X59:X59">IF(X$12=1,0,OFFSET(X59,0,-1))+SUM((OFFSET($D$13,1,0):OFFSET($D$50,-3,0))*IF(ISNUMBER(OFFSET(X$11,5,0):OFFSET(X$50,-1,0)),OFFSET(X$11,5,0):OFFSET(X$50,-1,0),0))</f>
        <v>0</v>
      </c>
      <c r="Y59" s="500" t="n">
        <f aca="true" t="array" ref="Y59:Y59">IF(Y$12=1,0,OFFSET(Y59,0,-1))+SUM((OFFSET($D$13,1,0):OFFSET($D$50,-3,0))*IF(ISNUMBER(OFFSET(Y$11,5,0):OFFSET(Y$50,-1,0)),OFFSET(Y$11,5,0):OFFSET(Y$50,-1,0),0))</f>
        <v>0</v>
      </c>
      <c r="Z59" s="500" t="n">
        <f aca="true" t="array" ref="Z59:Z59">IF(Z$12=1,0,OFFSET(Z59,0,-1))+SUM((OFFSET($D$13,1,0):OFFSET($D$50,-3,0))*IF(ISNUMBER(OFFSET(Z$11,5,0):OFFSET(Z$50,-1,0)),OFFSET(Z$11,5,0):OFFSET(Z$50,-1,0),0))</f>
        <v>0</v>
      </c>
      <c r="AA59" s="500" t="n">
        <f aca="true" t="array" ref="AA59:AA59">IF(AA$12=1,0,OFFSET(AA59,0,-1))+SUM((OFFSET($D$13,1,0):OFFSET($D$50,-3,0))*IF(ISNUMBER(OFFSET(AA$11,5,0):OFFSET(AA$50,-1,0)),OFFSET(AA$11,5,0):OFFSET(AA$50,-1,0),0))</f>
        <v>0</v>
      </c>
      <c r="AB59" s="500" t="n">
        <f aca="true" t="array" ref="AB59:AB59">IF(AB$12=1,0,OFFSET(AB59,0,-1))+SUM((OFFSET($D$13,1,0):OFFSET($D$50,-3,0))*IF(ISNUMBER(OFFSET(AB$11,5,0):OFFSET(AB$50,-1,0)),OFFSET(AB$11,5,0):OFFSET(AB$50,-1,0),0))</f>
        <v>0</v>
      </c>
      <c r="AC59" s="500" t="n">
        <f aca="true" t="array" ref="AC59:AC59">IF(AC$12=1,0,OFFSET(AC59,0,-1))+SUM((OFFSET($D$13,1,0):OFFSET($D$50,-3,0))*IF(ISNUMBER(OFFSET(AC$11,5,0):OFFSET(AC$50,-1,0)),OFFSET(AC$11,5,0):OFFSET(AC$50,-1,0),0))</f>
        <v>0</v>
      </c>
      <c r="AD59" s="500" t="n">
        <f aca="true" t="array" ref="AD59:AD59">IF(AD$12=1,0,OFFSET(AD59,0,-1))+SUM((OFFSET($D$13,1,0):OFFSET($D$50,-3,0))*IF(ISNUMBER(OFFSET(AD$11,5,0):OFFSET(AD$50,-1,0)),OFFSET(AD$11,5,0):OFFSET(AD$50,-1,0),0))</f>
        <v>0</v>
      </c>
      <c r="AE59" s="500" t="n">
        <f aca="true" t="array" ref="AE59:AE59">IF(AE$12=1,0,OFFSET(AE59,0,-1))+SUM((OFFSET($D$13,1,0):OFFSET($D$50,-3,0))*IF(ISNUMBER(OFFSET(AE$11,5,0):OFFSET(AE$50,-1,0)),OFFSET(AE$11,5,0):OFFSET(AE$50,-1,0),0))</f>
        <v>0</v>
      </c>
      <c r="AF59" s="500" t="n">
        <f aca="true" t="array" ref="AF59:AF59">IF(AF$12=1,0,OFFSET(AF59,0,-1))+SUM((OFFSET($D$13,1,0):OFFSET($D$50,-3,0))*IF(ISNUMBER(OFFSET(AF$11,5,0):OFFSET(AF$50,-1,0)),OFFSET(AF$11,5,0):OFFSET(AF$50,-1,0),0))</f>
        <v>0</v>
      </c>
      <c r="AG59" s="434"/>
    </row>
    <row r="60" customFormat="false" ht="12.75" hidden="false" customHeight="false" outlineLevel="0" collapsed="false">
      <c r="D60" s="442"/>
      <c r="E60" s="508" t="n">
        <f aca="true">SUMIF($S$12:$S$50,"1$",E12:E50)+IF(E$12&gt;1,OFFSET(E60,0,-1),0)</f>
        <v>0</v>
      </c>
      <c r="G60" s="423" t="s">
        <v>596</v>
      </c>
      <c r="H60" s="338" t="str">
        <f aca="false" t="array" ref="H60:H60">IF(ACOMPANHAMENTO="BM","Selecione o Macrosserviço da Administração Local:","")</f>
        <v>Selecione o Macrosserviço da Administração Local:</v>
      </c>
      <c r="L60" s="497"/>
      <c r="S60" s="498"/>
      <c r="T60" s="509" t="s">
        <v>941</v>
      </c>
      <c r="U60" s="508" t="n">
        <f aca="true">SUMIF($S$12:$S$50,"1$",U12:U50)+IF(U$12&gt;1,OFFSET(U60,0,-1),0)</f>
        <v>0</v>
      </c>
      <c r="V60" s="508" t="n">
        <f aca="true">SUMIF($S$12:$S$50,"1$",V12:V50)+IF(V$12&gt;1,OFFSET(V60,0,-1),0)</f>
        <v>0</v>
      </c>
      <c r="W60" s="508" t="n">
        <f aca="true">SUMIF($S$12:$S$50,"1$",W12:W50)+IF(W$12&gt;1,OFFSET(W60,0,-1),0)</f>
        <v>0</v>
      </c>
      <c r="X60" s="508" t="n">
        <f aca="true">SUMIF($S$12:$S$50,"1$",X12:X50)+IF(X$12&gt;1,OFFSET(X60,0,-1),0)</f>
        <v>0</v>
      </c>
      <c r="Y60" s="508" t="n">
        <f aca="true">SUMIF($S$12:$S$50,"1$",Y12:Y50)+IF(Y$12&gt;1,OFFSET(Y60,0,-1),0)</f>
        <v>0</v>
      </c>
      <c r="Z60" s="508" t="n">
        <f aca="true">SUMIF($S$12:$S$50,"1$",Z12:Z50)+IF(Z$12&gt;1,OFFSET(Z60,0,-1),0)</f>
        <v>0</v>
      </c>
      <c r="AA60" s="508" t="n">
        <f aca="true">SUMIF($S$12:$S$50,"1$",AA12:AA50)+IF(AA$12&gt;1,OFFSET(AA60,0,-1),0)</f>
        <v>0</v>
      </c>
      <c r="AB60" s="508" t="n">
        <f aca="true">SUMIF($S$12:$S$50,"1$",AB12:AB50)+IF(AB$12&gt;1,OFFSET(AB60,0,-1),0)</f>
        <v>0</v>
      </c>
      <c r="AC60" s="508" t="n">
        <f aca="true">SUMIF($S$12:$S$50,"1$",AC12:AC50)+IF(AC$12&gt;1,OFFSET(AC60,0,-1),0)</f>
        <v>0</v>
      </c>
      <c r="AD60" s="508" t="n">
        <f aca="true">SUMIF($S$12:$S$50,"1$",AD12:AD50)+IF(AD$12&gt;1,OFFSET(AD60,0,-1),0)</f>
        <v>0</v>
      </c>
      <c r="AE60" s="508" t="n">
        <f aca="true">SUMIF($S$12:$S$50,"1$",AE12:AE50)+IF(AE$12&gt;1,OFFSET(AE60,0,-1),0)</f>
        <v>0</v>
      </c>
      <c r="AF60" s="510" t="n">
        <f aca="true">SUMIF($S$12:$S$50,"1$",AF12:AF50)+IF(AF$12&gt;1,OFFSET(AF60,0,-1),0)</f>
        <v>0</v>
      </c>
      <c r="AG60" s="434"/>
    </row>
    <row r="61" customFormat="false" ht="12.75" hidden="false" customHeight="false" outlineLevel="0" collapsed="false">
      <c r="D61" s="442"/>
      <c r="E61" s="511" t="e">
        <f aca="true">IF($F$61="","",
  IF(ACOMPANHAMENTO="PLE",
     IF(AUTOEVENTO="Manual",
         IF(AdmLocal="Automática",
              E56,
              SUMIF(OFFSET(CRONOPLE!$F$14,CRONOPLE!$A$8+1,1,1,OFFSET(CRONOPLE!$AF$12,0,-1)),"&lt;="&amp;E$12,OFFSET(EVENTOS!$G$14,CRONOPLE!$A$8+1,1,1,OFFSET(CRONOPLE!$AF$12,0,-1)))/OFFSET(EVENTOS!$G$14,CRONOPLE!$A$8+1,-1)),
         SUMIFS(OFFSET(CÁLCULO!$AA$15,$F$61,1,OFFSET(ORÇAMENTO!$D$15,$F$61,0),CÁLCULO.FrentesPreenchidas),OFFSET(CÁLCULO!$AL$15,$F$61,1,OFFSET(ORÇAMENTO!$D$15,$F$61,0),CÁLCULO.FrentesPreenchidas),"&lt;="&amp;E$12)/OFFSET(ORÇAMENTO!$X$15,$F$61,0)),
     IF(ACOMPANHAMENTO="BM",SUM(OFFSET($T$13,$F$61+2,1,1,E$12))/OFFSET($S$13,$F$61,0),"")))</f>
        <v>#DIV/0!</v>
      </c>
      <c r="F61" s="423" t="n">
        <f aca="false">IF(ACOMPANHAMENTO="PLE",
    IF(AUTOEVENTO="Manual",
        IF(AdmLocal="Automática",1,IF(CRONOPLE!$D$8&lt;&gt;"","",MATCH(Import.EventoAdmLocal,EVENTOS!$B$15:$B$65,0))),
        IF(CRONOPLE!$D$8&lt;&gt;"","",CRONOPLE!$A$10)),
    IF($H$62&lt;&gt;"","",MATCH(Import.MacrosserviçoAdmLocal,$A$13:$A$50,0)-1))</f>
        <v>4</v>
      </c>
      <c r="G61" s="423" t="s">
        <v>596</v>
      </c>
      <c r="H61" s="275" t="s">
        <v>943</v>
      </c>
      <c r="I61" s="275"/>
      <c r="J61" s="275"/>
      <c r="L61" s="505"/>
      <c r="S61" s="512"/>
      <c r="T61" s="513" t="s">
        <v>944</v>
      </c>
      <c r="U61" s="511" t="e">
        <f aca="true">IF($F$61="","",
  IF(ACOMPANHAMENTO="PLE",
     IF(AUTOEVENTO="Manual",
         IF(AdmLocal="Automática",
              U56,
              SUMIF(OFFSET(CRONOPLE!$F$14,CRONOPLE!$A$8+1,1,1,OFFSET(CRONOPLE!$AF$12,0,-1)),"&lt;="&amp;U$12,OFFSET(EVENTOS!$G$14,CRONOPLE!$A$8+1,1,1,OFFSET(CRONOPLE!$AF$12,0,-1)))/OFFSET(EVENTOS!$G$14,CRONOPLE!$A$8+1,-1)),
         SUMIFS(OFFSET(CÁLCULO!$AA$15,$F$61,1,OFFSET(ORÇAMENTO!$D$15,$F$61,0),CÁLCULO.FrentesPreenchidas),OFFSET(CÁLCULO!$AL$15,$F$61,1,OFFSET(ORÇAMENTO!$D$15,$F$61,0),CÁLCULO.FrentesPreenchidas),"&lt;="&amp;U$12)/OFFSET(ORÇAMENTO!$X$15,$F$61,0)),
     IF(ACOMPANHAMENTO="BM",SUM(OFFSET($T$13,$F$61+2,1,1,U$12))/OFFSET($S$13,$F$61,0),"")))</f>
        <v>#DIV/0!</v>
      </c>
      <c r="V61" s="511" t="e">
        <f aca="true">IF($F$61="","",
  IF(ACOMPANHAMENTO="PLE",
     IF(AUTOEVENTO="Manual",
         IF(AdmLocal="Automática",
              V56,
              SUMIF(OFFSET(CRONOPLE!$F$14,CRONOPLE!$A$8+1,1,1,OFFSET(CRONOPLE!$AF$12,0,-1)),"&lt;="&amp;V$12,OFFSET(EVENTOS!$G$14,CRONOPLE!$A$8+1,1,1,OFFSET(CRONOPLE!$AF$12,0,-1)))/OFFSET(EVENTOS!$G$14,CRONOPLE!$A$8+1,-1)),
         SUMIFS(OFFSET(CÁLCULO!$AA$15,$F$61,1,OFFSET(ORÇAMENTO!$D$15,$F$61,0),CÁLCULO.FrentesPreenchidas),OFFSET(CÁLCULO!$AL$15,$F$61,1,OFFSET(ORÇAMENTO!$D$15,$F$61,0),CÁLCULO.FrentesPreenchidas),"&lt;="&amp;V$12)/OFFSET(ORÇAMENTO!$X$15,$F$61,0)),
     IF(ACOMPANHAMENTO="BM",SUM(OFFSET($T$13,$F$61+2,1,1,V$12))/OFFSET($S$13,$F$61,0),"")))</f>
        <v>#DIV/0!</v>
      </c>
      <c r="W61" s="511" t="e">
        <f aca="true">IF($F$61="","",
  IF(ACOMPANHAMENTO="PLE",
     IF(AUTOEVENTO="Manual",
         IF(AdmLocal="Automática",
              W56,
              SUMIF(OFFSET(CRONOPLE!$F$14,CRONOPLE!$A$8+1,1,1,OFFSET(CRONOPLE!$AF$12,0,-1)),"&lt;="&amp;W$12,OFFSET(EVENTOS!$G$14,CRONOPLE!$A$8+1,1,1,OFFSET(CRONOPLE!$AF$12,0,-1)))/OFFSET(EVENTOS!$G$14,CRONOPLE!$A$8+1,-1)),
         SUMIFS(OFFSET(CÁLCULO!$AA$15,$F$61,1,OFFSET(ORÇAMENTO!$D$15,$F$61,0),CÁLCULO.FrentesPreenchidas),OFFSET(CÁLCULO!$AL$15,$F$61,1,OFFSET(ORÇAMENTO!$D$15,$F$61,0),CÁLCULO.FrentesPreenchidas),"&lt;="&amp;W$12)/OFFSET(ORÇAMENTO!$X$15,$F$61,0)),
     IF(ACOMPANHAMENTO="BM",SUM(OFFSET($T$13,$F$61+2,1,1,W$12))/OFFSET($S$13,$F$61,0),"")))</f>
        <v>#DIV/0!</v>
      </c>
      <c r="X61" s="511" t="e">
        <f aca="true">IF($F$61="","",
  IF(ACOMPANHAMENTO="PLE",
     IF(AUTOEVENTO="Manual",
         IF(AdmLocal="Automática",
              X56,
              SUMIF(OFFSET(CRONOPLE!$F$14,CRONOPLE!$A$8+1,1,1,OFFSET(CRONOPLE!$AF$12,0,-1)),"&lt;="&amp;X$12,OFFSET(EVENTOS!$G$14,CRONOPLE!$A$8+1,1,1,OFFSET(CRONOPLE!$AF$12,0,-1)))/OFFSET(EVENTOS!$G$14,CRONOPLE!$A$8+1,-1)),
         SUMIFS(OFFSET(CÁLCULO!$AA$15,$F$61,1,OFFSET(ORÇAMENTO!$D$15,$F$61,0),CÁLCULO.FrentesPreenchidas),OFFSET(CÁLCULO!$AL$15,$F$61,1,OFFSET(ORÇAMENTO!$D$15,$F$61,0),CÁLCULO.FrentesPreenchidas),"&lt;="&amp;X$12)/OFFSET(ORÇAMENTO!$X$15,$F$61,0)),
     IF(ACOMPANHAMENTO="BM",SUM(OFFSET($T$13,$F$61+2,1,1,X$12))/OFFSET($S$13,$F$61,0),"")))</f>
        <v>#DIV/0!</v>
      </c>
      <c r="Y61" s="511" t="e">
        <f aca="true">IF($F$61="","",
  IF(ACOMPANHAMENTO="PLE",
     IF(AUTOEVENTO="Manual",
         IF(AdmLocal="Automática",
              Y56,
              SUMIF(OFFSET(CRONOPLE!$F$14,CRONOPLE!$A$8+1,1,1,OFFSET(CRONOPLE!$AF$12,0,-1)),"&lt;="&amp;Y$12,OFFSET(EVENTOS!$G$14,CRONOPLE!$A$8+1,1,1,OFFSET(CRONOPLE!$AF$12,0,-1)))/OFFSET(EVENTOS!$G$14,CRONOPLE!$A$8+1,-1)),
         SUMIFS(OFFSET(CÁLCULO!$AA$15,$F$61,1,OFFSET(ORÇAMENTO!$D$15,$F$61,0),CÁLCULO.FrentesPreenchidas),OFFSET(CÁLCULO!$AL$15,$F$61,1,OFFSET(ORÇAMENTO!$D$15,$F$61,0),CÁLCULO.FrentesPreenchidas),"&lt;="&amp;Y$12)/OFFSET(ORÇAMENTO!$X$15,$F$61,0)),
     IF(ACOMPANHAMENTO="BM",SUM(OFFSET($T$13,$F$61+2,1,1,Y$12))/OFFSET($S$13,$F$61,0),"")))</f>
        <v>#DIV/0!</v>
      </c>
      <c r="Z61" s="511" t="e">
        <f aca="true">IF($F$61="","",
  IF(ACOMPANHAMENTO="PLE",
     IF(AUTOEVENTO="Manual",
         IF(AdmLocal="Automática",
              Z56,
              SUMIF(OFFSET(CRONOPLE!$F$14,CRONOPLE!$A$8+1,1,1,OFFSET(CRONOPLE!$AF$12,0,-1)),"&lt;="&amp;Z$12,OFFSET(EVENTOS!$G$14,CRONOPLE!$A$8+1,1,1,OFFSET(CRONOPLE!$AF$12,0,-1)))/OFFSET(EVENTOS!$G$14,CRONOPLE!$A$8+1,-1)),
         SUMIFS(OFFSET(CÁLCULO!$AA$15,$F$61,1,OFFSET(ORÇAMENTO!$D$15,$F$61,0),CÁLCULO.FrentesPreenchidas),OFFSET(CÁLCULO!$AL$15,$F$61,1,OFFSET(ORÇAMENTO!$D$15,$F$61,0),CÁLCULO.FrentesPreenchidas),"&lt;="&amp;Z$12)/OFFSET(ORÇAMENTO!$X$15,$F$61,0)),
     IF(ACOMPANHAMENTO="BM",SUM(OFFSET($T$13,$F$61+2,1,1,Z$12))/OFFSET($S$13,$F$61,0),"")))</f>
        <v>#DIV/0!</v>
      </c>
      <c r="AA61" s="511" t="e">
        <f aca="true">IF($F$61="","",
  IF(ACOMPANHAMENTO="PLE",
     IF(AUTOEVENTO="Manual",
         IF(AdmLocal="Automática",
              AA56,
              SUMIF(OFFSET(CRONOPLE!$F$14,CRONOPLE!$A$8+1,1,1,OFFSET(CRONOPLE!$AF$12,0,-1)),"&lt;="&amp;AA$12,OFFSET(EVENTOS!$G$14,CRONOPLE!$A$8+1,1,1,OFFSET(CRONOPLE!$AF$12,0,-1)))/OFFSET(EVENTOS!$G$14,CRONOPLE!$A$8+1,-1)),
         SUMIFS(OFFSET(CÁLCULO!$AA$15,$F$61,1,OFFSET(ORÇAMENTO!$D$15,$F$61,0),CÁLCULO.FrentesPreenchidas),OFFSET(CÁLCULO!$AL$15,$F$61,1,OFFSET(ORÇAMENTO!$D$15,$F$61,0),CÁLCULO.FrentesPreenchidas),"&lt;="&amp;AA$12)/OFFSET(ORÇAMENTO!$X$15,$F$61,0)),
     IF(ACOMPANHAMENTO="BM",SUM(OFFSET($T$13,$F$61+2,1,1,AA$12))/OFFSET($S$13,$F$61,0),"")))</f>
        <v>#DIV/0!</v>
      </c>
      <c r="AB61" s="511" t="e">
        <f aca="true">IF($F$61="","",
  IF(ACOMPANHAMENTO="PLE",
     IF(AUTOEVENTO="Manual",
         IF(AdmLocal="Automática",
              AB56,
              SUMIF(OFFSET(CRONOPLE!$F$14,CRONOPLE!$A$8+1,1,1,OFFSET(CRONOPLE!$AF$12,0,-1)),"&lt;="&amp;AB$12,OFFSET(EVENTOS!$G$14,CRONOPLE!$A$8+1,1,1,OFFSET(CRONOPLE!$AF$12,0,-1)))/OFFSET(EVENTOS!$G$14,CRONOPLE!$A$8+1,-1)),
         SUMIFS(OFFSET(CÁLCULO!$AA$15,$F$61,1,OFFSET(ORÇAMENTO!$D$15,$F$61,0),CÁLCULO.FrentesPreenchidas),OFFSET(CÁLCULO!$AL$15,$F$61,1,OFFSET(ORÇAMENTO!$D$15,$F$61,0),CÁLCULO.FrentesPreenchidas),"&lt;="&amp;AB$12)/OFFSET(ORÇAMENTO!$X$15,$F$61,0)),
     IF(ACOMPANHAMENTO="BM",SUM(OFFSET($T$13,$F$61+2,1,1,AB$12))/OFFSET($S$13,$F$61,0),"")))</f>
        <v>#DIV/0!</v>
      </c>
      <c r="AC61" s="511" t="e">
        <f aca="true">IF($F$61="","",
  IF(ACOMPANHAMENTO="PLE",
     IF(AUTOEVENTO="Manual",
         IF(AdmLocal="Automática",
              AC56,
              SUMIF(OFFSET(CRONOPLE!$F$14,CRONOPLE!$A$8+1,1,1,OFFSET(CRONOPLE!$AF$12,0,-1)),"&lt;="&amp;AC$12,OFFSET(EVENTOS!$G$14,CRONOPLE!$A$8+1,1,1,OFFSET(CRONOPLE!$AF$12,0,-1)))/OFFSET(EVENTOS!$G$14,CRONOPLE!$A$8+1,-1)),
         SUMIFS(OFFSET(CÁLCULO!$AA$15,$F$61,1,OFFSET(ORÇAMENTO!$D$15,$F$61,0),CÁLCULO.FrentesPreenchidas),OFFSET(CÁLCULO!$AL$15,$F$61,1,OFFSET(ORÇAMENTO!$D$15,$F$61,0),CÁLCULO.FrentesPreenchidas),"&lt;="&amp;AC$12)/OFFSET(ORÇAMENTO!$X$15,$F$61,0)),
     IF(ACOMPANHAMENTO="BM",SUM(OFFSET($T$13,$F$61+2,1,1,AC$12))/OFFSET($S$13,$F$61,0),"")))</f>
        <v>#DIV/0!</v>
      </c>
      <c r="AD61" s="511" t="e">
        <f aca="true">IF($F$61="","",
  IF(ACOMPANHAMENTO="PLE",
     IF(AUTOEVENTO="Manual",
         IF(AdmLocal="Automática",
              AD56,
              SUMIF(OFFSET(CRONOPLE!$F$14,CRONOPLE!$A$8+1,1,1,OFFSET(CRONOPLE!$AF$12,0,-1)),"&lt;="&amp;AD$12,OFFSET(EVENTOS!$G$14,CRONOPLE!$A$8+1,1,1,OFFSET(CRONOPLE!$AF$12,0,-1)))/OFFSET(EVENTOS!$G$14,CRONOPLE!$A$8+1,-1)),
         SUMIFS(OFFSET(CÁLCULO!$AA$15,$F$61,1,OFFSET(ORÇAMENTO!$D$15,$F$61,0),CÁLCULO.FrentesPreenchidas),OFFSET(CÁLCULO!$AL$15,$F$61,1,OFFSET(ORÇAMENTO!$D$15,$F$61,0),CÁLCULO.FrentesPreenchidas),"&lt;="&amp;AD$12)/OFFSET(ORÇAMENTO!$X$15,$F$61,0)),
     IF(ACOMPANHAMENTO="BM",SUM(OFFSET($T$13,$F$61+2,1,1,AD$12))/OFFSET($S$13,$F$61,0),"")))</f>
        <v>#DIV/0!</v>
      </c>
      <c r="AE61" s="511" t="e">
        <f aca="true">IF($F$61="","",
  IF(ACOMPANHAMENTO="PLE",
     IF(AUTOEVENTO="Manual",
         IF(AdmLocal="Automática",
              AE56,
              SUMIF(OFFSET(CRONOPLE!$F$14,CRONOPLE!$A$8+1,1,1,OFFSET(CRONOPLE!$AF$12,0,-1)),"&lt;="&amp;AE$12,OFFSET(EVENTOS!$G$14,CRONOPLE!$A$8+1,1,1,OFFSET(CRONOPLE!$AF$12,0,-1)))/OFFSET(EVENTOS!$G$14,CRONOPLE!$A$8+1,-1)),
         SUMIFS(OFFSET(CÁLCULO!$AA$15,$F$61,1,OFFSET(ORÇAMENTO!$D$15,$F$61,0),CÁLCULO.FrentesPreenchidas),OFFSET(CÁLCULO!$AL$15,$F$61,1,OFFSET(ORÇAMENTO!$D$15,$F$61,0),CÁLCULO.FrentesPreenchidas),"&lt;="&amp;AE$12)/OFFSET(ORÇAMENTO!$X$15,$F$61,0)),
     IF(ACOMPANHAMENTO="BM",SUM(OFFSET($T$13,$F$61+2,1,1,AE$12))/OFFSET($S$13,$F$61,0),"")))</f>
        <v>#DIV/0!</v>
      </c>
      <c r="AF61" s="511" t="e">
        <f aca="true">IF($F$61="","",
  IF(ACOMPANHAMENTO="PLE",
     IF(AUTOEVENTO="Manual",
         IF(AdmLocal="Automática",
              AF56,
              SUMIF(OFFSET(CRONOPLE!$F$14,CRONOPLE!$A$8+1,1,1,OFFSET(CRONOPLE!$AF$12,0,-1)),"&lt;="&amp;AF$12,OFFSET(EVENTOS!$G$14,CRONOPLE!$A$8+1,1,1,OFFSET(CRONOPLE!$AF$12,0,-1)))/OFFSET(EVENTOS!$G$14,CRONOPLE!$A$8+1,-1)),
         SUMIFS(OFFSET(CÁLCULO!$AA$15,$F$61,1,OFFSET(ORÇAMENTO!$D$15,$F$61,0),CÁLCULO.FrentesPreenchidas),OFFSET(CÁLCULO!$AL$15,$F$61,1,OFFSET(ORÇAMENTO!$D$15,$F$61,0),CÁLCULO.FrentesPreenchidas),"&lt;="&amp;AF$12)/OFFSET(ORÇAMENTO!$X$15,$F$61,0)),
     IF(ACOMPANHAMENTO="BM",SUM(OFFSET($T$13,$F$61+2,1,1,AF$12))/OFFSET($S$13,$F$61,0),"")))</f>
        <v>#DIV/0!</v>
      </c>
      <c r="AG61" s="434"/>
    </row>
    <row r="62" customFormat="false" ht="16.5" hidden="false" customHeight="true" outlineLevel="0" collapsed="false">
      <c r="G62" s="423" t="s">
        <v>596</v>
      </c>
      <c r="H62" s="109" t="str">
        <f aca="false" t="array" ref="H62:H62">IF(AND(ACOMPANHAMENTO="BM",$H$61=""),"↑ Não foi indicado o Macrosserviço de Administração Local","")</f>
        <v/>
      </c>
      <c r="T62" s="420" t="str">
        <f aca="false">IF(COUNTIF(U62:AG62,"%Adm&gt;%Global")&gt;0,"Verificar proporcionalidade da Administração Local","")</f>
        <v/>
      </c>
      <c r="U62" s="421" t="e">
        <f aca="false">IF(U61="","",IF(ROUND(U61,4)&gt;ROUND(U56,4),"%Adm&gt;%Global",""))</f>
        <v>#DIV/0!</v>
      </c>
      <c r="V62" s="421" t="e">
        <f aca="false">IF(V61="","",IF(ROUND(V61,4)&gt;ROUND(V56,4),"%Adm&gt;%Global",""))</f>
        <v>#DIV/0!</v>
      </c>
      <c r="W62" s="421" t="e">
        <f aca="false">IF(W61="","",IF(ROUND(W61,4)&gt;ROUND(W56,4),"%Adm&gt;%Global",""))</f>
        <v>#DIV/0!</v>
      </c>
      <c r="X62" s="421" t="e">
        <f aca="false">IF(X61="","",IF(ROUND(X61,4)&gt;ROUND(X56,4),"%Adm&gt;%Global",""))</f>
        <v>#DIV/0!</v>
      </c>
      <c r="Y62" s="421" t="e">
        <f aca="false">IF(Y61="","",IF(ROUND(Y61,4)&gt;ROUND(Y56,4),"%Adm&gt;%Global",""))</f>
        <v>#DIV/0!</v>
      </c>
      <c r="Z62" s="421" t="e">
        <f aca="false">IF(Z61="","",IF(ROUND(Z61,4)&gt;ROUND(Z56,4),"%Adm&gt;%Global",""))</f>
        <v>#DIV/0!</v>
      </c>
      <c r="AA62" s="421" t="e">
        <f aca="false">IF(AA61="","",IF(ROUND(AA61,4)&gt;ROUND(AA56,4),"%Adm&gt;%Global",""))</f>
        <v>#DIV/0!</v>
      </c>
      <c r="AB62" s="421" t="e">
        <f aca="false">IF(AB61="","",IF(ROUND(AB61,4)&gt;ROUND(AB56,4),"%Adm&gt;%Global",""))</f>
        <v>#DIV/0!</v>
      </c>
      <c r="AC62" s="421" t="e">
        <f aca="false">IF(AC61="","",IF(ROUND(AC61,4)&gt;ROUND(AC56,4),"%Adm&gt;%Global",""))</f>
        <v>#DIV/0!</v>
      </c>
      <c r="AD62" s="421" t="e">
        <f aca="false">IF(AD61="","",IF(ROUND(AD61,4)&gt;ROUND(AD56,4),"%Adm&gt;%Global",""))</f>
        <v>#DIV/0!</v>
      </c>
      <c r="AE62" s="421" t="e">
        <f aca="false">IF(AE61="","",IF(ROUND(AE61,4)&gt;ROUND(AE56,4),"%Adm&gt;%Global",""))</f>
        <v>#DIV/0!</v>
      </c>
      <c r="AF62" s="421" t="e">
        <f aca="false">IF(AF61="","",IF(ROUND(AF61,4)&gt;ROUND(AF56,4),"%Adm&gt;%Global",""))</f>
        <v>#DIV/0!</v>
      </c>
      <c r="AG62" s="421" t="str">
        <f aca="false">IF(AG61="","",IF(ROUND(AG61,4)&gt;ROUND(AG56,4),"%Adm&gt;%Global",""))</f>
        <v/>
      </c>
    </row>
    <row r="63" customFormat="false" ht="32.25" hidden="false" customHeight="true" outlineLevel="0" collapsed="false">
      <c r="G63" s="423" t="s">
        <v>596</v>
      </c>
      <c r="I63" s="258" t="str">
        <f aca="false">Import.Município</f>
        <v>TRAMANDAI/RS</v>
      </c>
      <c r="J63" s="258"/>
      <c r="K63" s="258"/>
      <c r="L63" s="258"/>
      <c r="M63" s="258"/>
      <c r="N63" s="258"/>
      <c r="O63" s="258"/>
      <c r="P63" s="258"/>
      <c r="Q63" s="258"/>
      <c r="R63" s="258"/>
      <c r="S63" s="258"/>
      <c r="AA63" s="259"/>
      <c r="AB63" s="259"/>
      <c r="AC63" s="259"/>
      <c r="AD63" s="259"/>
      <c r="AE63" s="514"/>
      <c r="AF63" s="514"/>
    </row>
    <row r="64" customFormat="false" ht="12.75" hidden="false" customHeight="false" outlineLevel="0" collapsed="false">
      <c r="G64" s="423" t="s">
        <v>596</v>
      </c>
      <c r="I64" s="52" t="s">
        <v>755</v>
      </c>
      <c r="AA64" s="260" t="s">
        <v>758</v>
      </c>
      <c r="AB64" s="260"/>
      <c r="AC64" s="260"/>
      <c r="AD64" s="260"/>
      <c r="AE64" s="423"/>
      <c r="AF64" s="423"/>
    </row>
    <row r="65" customFormat="false" ht="12.75" hidden="false" customHeight="false" outlineLevel="0" collapsed="false">
      <c r="G65" s="423" t="s">
        <v>596</v>
      </c>
      <c r="AA65" s="305" t="str">
        <f aca="true" t="array" ref="AA65:AA67">OFFSET(Import.RespOrçamento,0,-1) &amp; " " &amp; Import.RespOrçamento</f>
        <v>Nome: Jaqueline Ferreira / Marcio R. Maciel</v>
      </c>
      <c r="AD65" s="150"/>
      <c r="AE65" s="423"/>
      <c r="AF65" s="423"/>
    </row>
    <row r="66" customFormat="false" ht="12.75" hidden="false" customHeight="false" outlineLevel="0" collapsed="false">
      <c r="G66" s="423" t="s">
        <v>596</v>
      </c>
      <c r="I66" s="306" t="n">
        <f aca="false">DADOS!$C$25</f>
        <v>46098</v>
      </c>
      <c r="J66" s="306"/>
      <c r="K66" s="306"/>
      <c r="L66" s="46"/>
      <c r="M66" s="514"/>
      <c r="N66" s="514"/>
      <c r="O66" s="514"/>
      <c r="P66" s="514"/>
      <c r="Q66" s="514"/>
      <c r="R66" s="514"/>
      <c r="S66" s="515"/>
      <c r="AA66" s="305" t="str">
        <v>CREA/CAU:  CAU A152414-3  / CREA RS236197</v>
      </c>
      <c r="AC66" s="150"/>
      <c r="AD66" s="150"/>
      <c r="AE66" s="423"/>
      <c r="AF66" s="423"/>
    </row>
    <row r="67" customFormat="false" ht="12.75" hidden="false" customHeight="false" outlineLevel="0" collapsed="false">
      <c r="G67" s="423" t="s">
        <v>596</v>
      </c>
      <c r="I67" s="52" t="s">
        <v>756</v>
      </c>
      <c r="AA67" s="305" t="str">
        <v>ART/RRT: </v>
      </c>
      <c r="AC67" s="150"/>
      <c r="AD67" s="150"/>
      <c r="AE67" s="423"/>
      <c r="AF67" s="423"/>
    </row>
  </sheetData>
  <sheetProtection algorithmName="SHA-512" hashValue="kzsL4O79eQBgOwXoCb9VgU0yBris0Zi5W/RAYBG4PrfysTb8Fs3PsR8O7aChf1KipJknnhBMzBMMNpO/x2nYsw==" saltValue="O5Sgv7sNe9LnzkXsfLCoDA==" spinCount="100000" sheet="true" objects="true" scenarios="true" autoFilter="false"/>
  <autoFilter ref="G13:G67">
    <filterColumn colId="0">
      <filters>
        <filter val="F"/>
      </filters>
    </filterColumn>
  </autoFilter>
  <mergeCells count="18">
    <mergeCell ref="AE4:AF4"/>
    <mergeCell ref="AE5:AF5"/>
    <mergeCell ref="H7:H9"/>
    <mergeCell ref="G8:G11"/>
    <mergeCell ref="I8:J8"/>
    <mergeCell ref="L8:T8"/>
    <mergeCell ref="U8:Y8"/>
    <mergeCell ref="Z8:AE8"/>
    <mergeCell ref="K10:T11"/>
    <mergeCell ref="H12:H13"/>
    <mergeCell ref="I12:I13"/>
    <mergeCell ref="J12:J13"/>
    <mergeCell ref="S12:S13"/>
    <mergeCell ref="T12:T13"/>
    <mergeCell ref="I51:K52"/>
    <mergeCell ref="H61:J61"/>
    <mergeCell ref="I63:S63"/>
    <mergeCell ref="I66:K66"/>
  </mergeCells>
  <conditionalFormatting sqref="U42:AF42 U45:AF45 U48:AF48">
    <cfRule type="expression" priority="2" aboveAverage="0" equalAverage="0" bottom="0" percent="0" rank="0" text="" dxfId="324">
      <formula>AND(_xlfn.single(ACOMPANHAMENTO)="BM",U42&gt;ROUND(U42,4))</formula>
    </cfRule>
  </conditionalFormatting>
  <conditionalFormatting sqref="U41:AF41 U44:AF44 U47:AF47">
    <cfRule type="expression" priority="3" aboveAverage="0" equalAverage="0" bottom="0" percent="0" rank="0" text="" dxfId="325">
      <formula>U41&lt;&gt;0</formula>
    </cfRule>
  </conditionalFormatting>
  <conditionalFormatting sqref="E42 E45 E48">
    <cfRule type="expression" priority="4" aboveAverage="0" equalAverage="0" bottom="0" percent="0" rank="0" text="" dxfId="326">
      <formula>AND(_xlfn.single(ACOMPANHAMENTO)="BM",E42&gt;ROUND(E42,4))</formula>
    </cfRule>
  </conditionalFormatting>
  <conditionalFormatting sqref="E41 E44 E47">
    <cfRule type="expression" priority="5" aboveAverage="0" equalAverage="0" bottom="0" percent="0" rank="0" text="" dxfId="327">
      <formula>E41&lt;&gt;0</formula>
    </cfRule>
  </conditionalFormatting>
  <conditionalFormatting sqref="H41 H44 H47">
    <cfRule type="expression" priority="6" aboveAverage="0" equalAverage="0" bottom="0" percent="0" rank="0" text="" dxfId="328">
      <formula>AND(H41&lt;&gt;0,ISNUMBER(H41))</formula>
    </cfRule>
  </conditionalFormatting>
  <conditionalFormatting sqref="H42 H45 H48">
    <cfRule type="expression" priority="7" aboveAverage="0" equalAverage="0" bottom="0" percent="0" rank="0" text="" dxfId="329">
      <formula>AND(H41&lt;&gt;0,ISNUMBER(H41))</formula>
    </cfRule>
  </conditionalFormatting>
  <conditionalFormatting sqref="E42 E45 E48 U42:AF42 U45:AF45 U48:AF48">
    <cfRule type="expression" priority="8" aboveAverage="0" equalAverage="0" bottom="0" percent="0" rank="0" text="" dxfId="330">
      <formula>AND(ISNUMBER($H41),$H41&lt;&gt;0)</formula>
    </cfRule>
  </conditionalFormatting>
  <conditionalFormatting sqref="I42:S42 I45:S45 I48:S48">
    <cfRule type="expression" priority="9" aboveAverage="0" equalAverage="0" bottom="0" percent="0" rank="0" text="" dxfId="331">
      <formula>$M41=2</formula>
    </cfRule>
    <cfRule type="expression" priority="10" aboveAverage="0" equalAverage="0" bottom="0" percent="0" rank="0" text="" dxfId="332">
      <formula>AND($M41=1,$S41&lt;&gt;"")</formula>
    </cfRule>
  </conditionalFormatting>
  <conditionalFormatting sqref="I41:S41 I44:S44 I47:S47">
    <cfRule type="expression" priority="11" aboveAverage="0" equalAverage="0" bottom="0" percent="0" rank="0" text="" dxfId="333">
      <formula>$M41=2</formula>
    </cfRule>
    <cfRule type="expression" priority="12" aboveAverage="0" equalAverage="0" bottom="0" percent="0" rank="0" text="" dxfId="334">
      <formula>AND($M41=1,$S41&lt;&gt;"")</formula>
    </cfRule>
  </conditionalFormatting>
  <conditionalFormatting sqref="U33:AF33 U36:AF36 U39:AF39">
    <cfRule type="expression" priority="13" aboveAverage="0" equalAverage="0" bottom="0" percent="0" rank="0" text="" dxfId="335">
      <formula>AND(_xlfn.single(ACOMPANHAMENTO)="BM",U33&gt;ROUND(U33,4))</formula>
    </cfRule>
  </conditionalFormatting>
  <conditionalFormatting sqref="U32:AF32 U35:AF35 U38:AF38">
    <cfRule type="expression" priority="14" aboveAverage="0" equalAverage="0" bottom="0" percent="0" rank="0" text="" dxfId="336">
      <formula>U32&lt;&gt;0</formula>
    </cfRule>
  </conditionalFormatting>
  <conditionalFormatting sqref="E33 E36 E39">
    <cfRule type="expression" priority="15" aboveAverage="0" equalAverage="0" bottom="0" percent="0" rank="0" text="" dxfId="337">
      <formula>AND(_xlfn.single(ACOMPANHAMENTO)="BM",E33&gt;ROUND(E33,4))</formula>
    </cfRule>
  </conditionalFormatting>
  <conditionalFormatting sqref="E32 E35 E38">
    <cfRule type="expression" priority="16" aboveAverage="0" equalAverage="0" bottom="0" percent="0" rank="0" text="" dxfId="338">
      <formula>E32&lt;&gt;0</formula>
    </cfRule>
  </conditionalFormatting>
  <conditionalFormatting sqref="H32 H35 H38">
    <cfRule type="expression" priority="17" aboveAverage="0" equalAverage="0" bottom="0" percent="0" rank="0" text="" dxfId="339">
      <formula>AND(H32&lt;&gt;0,ISNUMBER(H32))</formula>
    </cfRule>
  </conditionalFormatting>
  <conditionalFormatting sqref="H33 H36 H39">
    <cfRule type="expression" priority="18" aboveAverage="0" equalAverage="0" bottom="0" percent="0" rank="0" text="" dxfId="340">
      <formula>AND(H32&lt;&gt;0,ISNUMBER(H32))</formula>
    </cfRule>
  </conditionalFormatting>
  <conditionalFormatting sqref="E33 E36 E39 U33:AF33 U36:AF36 U39:AF39">
    <cfRule type="expression" priority="19" aboveAverage="0" equalAverage="0" bottom="0" percent="0" rank="0" text="" dxfId="341">
      <formula>AND(ISNUMBER($H32),$H32&lt;&gt;0)</formula>
    </cfRule>
  </conditionalFormatting>
  <conditionalFormatting sqref="I33:S33 I36:S36 I39:S39">
    <cfRule type="expression" priority="20" aboveAverage="0" equalAverage="0" bottom="0" percent="0" rank="0" text="" dxfId="342">
      <formula>$M32=2</formula>
    </cfRule>
    <cfRule type="expression" priority="21" aboveAverage="0" equalAverage="0" bottom="0" percent="0" rank="0" text="" dxfId="343">
      <formula>AND($M32=1,$S32&lt;&gt;"")</formula>
    </cfRule>
  </conditionalFormatting>
  <conditionalFormatting sqref="I32:S32 I35:S35 I38:S38">
    <cfRule type="expression" priority="22" aboveAverage="0" equalAverage="0" bottom="0" percent="0" rank="0" text="" dxfId="344">
      <formula>$M32=2</formula>
    </cfRule>
    <cfRule type="expression" priority="23" aboveAverage="0" equalAverage="0" bottom="0" percent="0" rank="0" text="" dxfId="345">
      <formula>AND($M32=1,$S32&lt;&gt;"")</formula>
    </cfRule>
  </conditionalFormatting>
  <conditionalFormatting sqref="U24:AF24 U27:AF27 U30:AF30">
    <cfRule type="expression" priority="24" aboveAverage="0" equalAverage="0" bottom="0" percent="0" rank="0" text="" dxfId="346">
      <formula>AND(_xlfn.single(ACOMPANHAMENTO)="BM",U24&gt;ROUND(U24,4))</formula>
    </cfRule>
  </conditionalFormatting>
  <conditionalFormatting sqref="U23:AF23 U26:AF26 U29:AF29">
    <cfRule type="expression" priority="25" aboveAverage="0" equalAverage="0" bottom="0" percent="0" rank="0" text="" dxfId="347">
      <formula>U23&lt;&gt;0</formula>
    </cfRule>
  </conditionalFormatting>
  <conditionalFormatting sqref="E24 E27 E30">
    <cfRule type="expression" priority="26" aboveAverage="0" equalAverage="0" bottom="0" percent="0" rank="0" text="" dxfId="348">
      <formula>AND(_xlfn.single(ACOMPANHAMENTO)="BM",E24&gt;ROUND(E24,4))</formula>
    </cfRule>
  </conditionalFormatting>
  <conditionalFormatting sqref="E23 E26 E29">
    <cfRule type="expression" priority="27" aboveAverage="0" equalAverage="0" bottom="0" percent="0" rank="0" text="" dxfId="349">
      <formula>E23&lt;&gt;0</formula>
    </cfRule>
  </conditionalFormatting>
  <conditionalFormatting sqref="H23 H26 H29">
    <cfRule type="expression" priority="28" aboveAverage="0" equalAverage="0" bottom="0" percent="0" rank="0" text="" dxfId="350">
      <formula>AND(H23&lt;&gt;0,ISNUMBER(H23))</formula>
    </cfRule>
  </conditionalFormatting>
  <conditionalFormatting sqref="H24 H27 H30">
    <cfRule type="expression" priority="29" aboveAverage="0" equalAverage="0" bottom="0" percent="0" rank="0" text="" dxfId="351">
      <formula>AND(H23&lt;&gt;0,ISNUMBER(H23))</formula>
    </cfRule>
  </conditionalFormatting>
  <conditionalFormatting sqref="E24 E27 E30 U24:AF24 U27:AF27 U30:AF30">
    <cfRule type="expression" priority="30" aboveAverage="0" equalAverage="0" bottom="0" percent="0" rank="0" text="" dxfId="352">
      <formula>AND(ISNUMBER($H23),$H23&lt;&gt;0)</formula>
    </cfRule>
  </conditionalFormatting>
  <conditionalFormatting sqref="I24:S24 I27:S27 I30:S30">
    <cfRule type="expression" priority="31" aboveAverage="0" equalAverage="0" bottom="0" percent="0" rank="0" text="" dxfId="353">
      <formula>$M23=2</formula>
    </cfRule>
    <cfRule type="expression" priority="32" aboveAverage="0" equalAverage="0" bottom="0" percent="0" rank="0" text="" dxfId="354">
      <formula>AND($M23=1,$S23&lt;&gt;"")</formula>
    </cfRule>
  </conditionalFormatting>
  <conditionalFormatting sqref="I23:S23 I26:S26 I29:S29">
    <cfRule type="expression" priority="33" aboveAverage="0" equalAverage="0" bottom="0" percent="0" rank="0" text="" dxfId="355">
      <formula>$M23=2</formula>
    </cfRule>
    <cfRule type="expression" priority="34" aboveAverage="0" equalAverage="0" bottom="0" percent="0" rank="0" text="" dxfId="356">
      <formula>AND($M23=1,$S23&lt;&gt;"")</formula>
    </cfRule>
  </conditionalFormatting>
  <conditionalFormatting sqref="U15:AF15 U18:AF18 U21:AF21">
    <cfRule type="expression" priority="35" aboveAverage="0" equalAverage="0" bottom="0" percent="0" rank="0" text="" dxfId="357">
      <formula>AND(_xlfn.single(ACOMPANHAMENTO)="BM",U15&gt;ROUND(U15,4))</formula>
    </cfRule>
  </conditionalFormatting>
  <conditionalFormatting sqref="U14:AF14 U17:AF17 U20:AF20">
    <cfRule type="expression" priority="36" aboveAverage="0" equalAverage="0" bottom="0" percent="0" rank="0" text="" dxfId="358">
      <formula>U14&lt;&gt;0</formula>
    </cfRule>
  </conditionalFormatting>
  <conditionalFormatting sqref="E15 E18 E21">
    <cfRule type="expression" priority="37" aboveAverage="0" equalAverage="0" bottom="0" percent="0" rank="0" text="" dxfId="359">
      <formula>AND(_xlfn.single(ACOMPANHAMENTO)="BM",E15&gt;ROUND(E15,4))</formula>
    </cfRule>
  </conditionalFormatting>
  <conditionalFormatting sqref="E14 E17 E20">
    <cfRule type="expression" priority="38" aboveAverage="0" equalAverage="0" bottom="0" percent="0" rank="0" text="" dxfId="360">
      <formula>E14&lt;&gt;0</formula>
    </cfRule>
  </conditionalFormatting>
  <conditionalFormatting sqref="H14 H17 H20">
    <cfRule type="expression" priority="39" aboveAverage="0" equalAverage="0" bottom="0" percent="0" rank="0" text="" dxfId="361">
      <formula>AND(H14&lt;&gt;0,ISNUMBER(H14))</formula>
    </cfRule>
  </conditionalFormatting>
  <conditionalFormatting sqref="H15 H18 H21">
    <cfRule type="expression" priority="40" aboveAverage="0" equalAverage="0" bottom="0" percent="0" rank="0" text="" dxfId="362">
      <formula>AND(H14&lt;&gt;0,ISNUMBER(H14))</formula>
    </cfRule>
  </conditionalFormatting>
  <conditionalFormatting sqref="E15 E18 E21 U15:AF15 U18:AF18 U21:AF21">
    <cfRule type="expression" priority="41" aboveAverage="0" equalAverage="0" bottom="0" percent="0" rank="0" text="" dxfId="363">
      <formula>AND(ISNUMBER($H14),$H14&lt;&gt;0)</formula>
    </cfRule>
  </conditionalFormatting>
  <conditionalFormatting sqref="I15:S15 I18:S18 I21:S21">
    <cfRule type="expression" priority="42" aboveAverage="0" equalAverage="0" bottom="0" percent="0" rank="0" text="" dxfId="364">
      <formula>$M14=2</formula>
    </cfRule>
    <cfRule type="expression" priority="43" aboveAverage="0" equalAverage="0" bottom="0" percent="0" rank="0" text="" dxfId="365">
      <formula>AND($M14=1,$S14&lt;&gt;"")</formula>
    </cfRule>
  </conditionalFormatting>
  <conditionalFormatting sqref="I14:S14 I17:S17 I20:S20">
    <cfRule type="expression" priority="44" aboveAverage="0" equalAverage="0" bottom="0" percent="0" rank="0" text="" dxfId="366">
      <formula>$M14=2</formula>
    </cfRule>
    <cfRule type="expression" priority="45" aboveAverage="0" equalAverage="0" bottom="0" percent="0" rank="0" text="" dxfId="367">
      <formula>AND($M14=1,$S14&lt;&gt;"")</formula>
    </cfRule>
  </conditionalFormatting>
  <conditionalFormatting sqref="U2:AF2">
    <cfRule type="expression" priority="46" aboveAverage="0" equalAverage="0" bottom="0" percent="0" rank="0" text="" dxfId="368">
      <formula>AND(_xlfn.single(ACOMPANHAMENTO)="BM",U2&gt;ROUND(U2,4))</formula>
    </cfRule>
  </conditionalFormatting>
  <conditionalFormatting sqref="U1:AF1">
    <cfRule type="expression" priority="47" aboveAverage="0" equalAverage="0" bottom="0" percent="0" rank="0" text="" dxfId="369">
      <formula>U1&lt;&gt;0</formula>
    </cfRule>
  </conditionalFormatting>
  <conditionalFormatting sqref="E2">
    <cfRule type="expression" priority="48" aboveAverage="0" equalAverage="0" bottom="0" percent="0" rank="0" text="" dxfId="370">
      <formula>AND(_xlfn.single(ACOMPANHAMENTO)="BM",E2&gt;ROUND(E2,4))</formula>
    </cfRule>
  </conditionalFormatting>
  <conditionalFormatting sqref="E1">
    <cfRule type="expression" priority="49" aboveAverage="0" equalAverage="0" bottom="0" percent="0" rank="0" text="" dxfId="371">
      <formula>E1&lt;&gt;0</formula>
    </cfRule>
  </conditionalFormatting>
  <conditionalFormatting sqref="E61 E61">
    <cfRule type="expression" priority="50" aboveAverage="0" equalAverage="0" bottom="0" percent="0" rank="0" text="" dxfId="372">
      <formula>D$56=1</formula>
    </cfRule>
  </conditionalFormatting>
  <conditionalFormatting sqref="H61:J61">
    <cfRule type="expression" priority="51" aboveAverage="0" equalAverage="0" bottom="0" percent="0" rank="0" text="" dxfId="373">
      <formula>$H$60=""</formula>
    </cfRule>
  </conditionalFormatting>
  <conditionalFormatting sqref="H1">
    <cfRule type="expression" priority="52" aboveAverage="0" equalAverage="0" bottom="0" percent="0" rank="0" text="" dxfId="374">
      <formula>AND(H1&lt;&gt;0,ISNUMBER(H1))</formula>
    </cfRule>
  </conditionalFormatting>
  <conditionalFormatting sqref="E61 U61:AF61">
    <cfRule type="expression" priority="53" aboveAverage="0" equalAverage="0" bottom="0" percent="0" rank="0" text="" dxfId="375">
      <formula>ROUND(E61,4)&gt;ROUND(E56,4)</formula>
    </cfRule>
  </conditionalFormatting>
  <conditionalFormatting sqref="H2">
    <cfRule type="expression" priority="54" aboveAverage="0" equalAverage="0" bottom="0" percent="0" rank="0" text="" dxfId="376">
      <formula>AND(H1&lt;&gt;0,ISNUMBER(H1))</formula>
    </cfRule>
  </conditionalFormatting>
  <conditionalFormatting sqref="Z7:AE8">
    <cfRule type="expression" priority="55" aboveAverage="0" equalAverage="0" bottom="0" percent="0" rank="0" text="" dxfId="377">
      <formula>QCI.ExisteManual</formula>
    </cfRule>
  </conditionalFormatting>
  <conditionalFormatting sqref="U12:U13">
    <cfRule type="expression" priority="56" aboveAverage="0" equalAverage="0" bottom="0" percent="0" rank="0" text="" dxfId="378">
      <formula>NOT(ISNUMBER(T$12))</formula>
    </cfRule>
  </conditionalFormatting>
  <conditionalFormatting sqref="E2 U2:AF2">
    <cfRule type="expression" priority="57" aboveAverage="0" equalAverage="0" bottom="0" percent="0" rank="0" text="" dxfId="379">
      <formula>AND(ISNUMBER($H1),$H1&lt;&gt;0)</formula>
    </cfRule>
  </conditionalFormatting>
  <conditionalFormatting sqref="I2:S2">
    <cfRule type="expression" priority="58" aboveAverage="0" equalAverage="0" bottom="0" percent="0" rank="0" text="" dxfId="380">
      <formula>$M1=2</formula>
    </cfRule>
    <cfRule type="expression" priority="59" aboveAverage="0" equalAverage="0" bottom="0" percent="0" rank="0" text="" dxfId="381">
      <formula>AND($M1=1,$S1&lt;&gt;"")</formula>
    </cfRule>
  </conditionalFormatting>
  <conditionalFormatting sqref="I1:S1">
    <cfRule type="expression" priority="60" aboveAverage="0" equalAverage="0" bottom="0" percent="0" rank="0" text="" dxfId="382">
      <formula>$M1=2</formula>
    </cfRule>
    <cfRule type="expression" priority="61" aboveAverage="0" equalAverage="0" bottom="0" percent="0" rank="0" text="" dxfId="383">
      <formula>AND($M1=1,$S1&lt;&gt;"")</formula>
    </cfRule>
  </conditionalFormatting>
  <conditionalFormatting sqref="E51 E53 E55:E56 E58 E60 U60:AF60 U51:AF51 U53:AF53 U55:AF56 U58:AF58">
    <cfRule type="expression" priority="62" aboveAverage="0" equalAverage="0" bottom="0" percent="0" rank="0" text="" dxfId="384">
      <formula>D$56=1</formula>
    </cfRule>
  </conditionalFormatting>
  <conditionalFormatting sqref="E52 E54 E57 E59 E61 U52:AF52 U54:AF54 U57:AF57 U59:AF59 U61:AF61">
    <cfRule type="expression" priority="63" aboveAverage="0" equalAverage="0" bottom="0" percent="0" rank="0" text="" dxfId="385">
      <formula>D$56=1</formula>
    </cfRule>
  </conditionalFormatting>
  <conditionalFormatting sqref="AF7:AF8">
    <cfRule type="expression" priority="64" aboveAverage="0" equalAverage="0" bottom="0" percent="0" rank="0" text="" dxfId="386">
      <formula>OR(TIPOORCAMENTO&lt;&gt;"Licitado",QCI.ExisteManual)</formula>
    </cfRule>
  </conditionalFormatting>
  <dataValidations count="6">
    <dataValidation allowBlank="true" error="Selecione o nível (2, 3 ou 4) do agrupador a exibir no cronograma." errorStyle="stop" errorTitle="Obrigatório:" operator="between" prompt="Selecione uma opção da lista de níveis a exibir." showDropDown="false" showErrorMessage="true" showInputMessage="true" sqref="H10" type="list">
      <formula1>CRONO.Lista.Níveis</formula1>
      <formula2>0</formula2>
    </dataValidation>
    <dataValidation allowBlank="true" errorStyle="stop" operator="between" prompt="Preencha na célula de baixo. Se o acompanhamento for PLE, preencha no botão PREENCHIMENTO POR EVENTOS, acima." showDropDown="false" showErrorMessage="true" showInputMessage="true" sqref="E1 U1:AF1 E14 U14:AF14 E17 U17:AF17 E20 U20:AF20 E23 U23:AF23 E26 U26:AF26 E29 U29:AF29 E32 U32:AF32 E35 U35:AF35 E38 U38:AF38 E41 U41:AF41 E44 U44:AF44 E47 U47:AF47" type="none">
      <formula1>0</formula1>
      <formula2>0</formula2>
    </dataValidation>
    <dataValidation allowBlank="true" errorStyle="stop" operator="greaterThan" showDropDown="false" showErrorMessage="true" showInputMessage="false" sqref="U12" type="whole">
      <formula1>0</formula1>
      <formula2>0</formula2>
    </dataValidation>
    <dataValidation allowBlank="true" error="Porcentagem Acumulada &gt; 100%." errorStyle="stop" operator="between" showDropDown="false" showErrorMessage="true" showInputMessage="false" sqref="E2 U2:AG2 E15 U15:AG15 E18 U18:AG18 E21 U21:AG21 E24 U24:AG24 E27 U27:AG27 E30 U30:AG30 E33 U33:AG33 E36 U36:AG36 E39 U39:AG39 E42 U42:AG42 E45 U45:AG45 E48 U48:AG48" type="decimal">
      <formula1>0</formula1>
      <formula2>CRONO.MaxParc</formula2>
    </dataValidation>
    <dataValidation allowBlank="true" error="Digite somente datas." errorStyle="stop" errorTitle="Erro" operator="greaterThan" showDropDown="false" showErrorMessage="true" showInputMessage="true" sqref="U13" type="date">
      <formula1>36526</formula1>
      <formula2>0</formula2>
    </dataValidation>
    <dataValidation allowBlank="true" error="Selecione uma opção da lista." errorStyle="stop" errorTitle="Atenção" operator="between" showDropDown="false" showErrorMessage="true" showInputMessage="false" sqref="H61:J61" type="list">
      <formula1>CRONO.Lista.AdmLocal</formula1>
      <formula2>0</formula2>
    </dataValidation>
  </dataValidations>
  <printOptions headings="false" gridLines="false" gridLinesSet="true" horizontalCentered="false" verticalCentered="false"/>
  <pageMargins left="0.7875" right="0.7875" top="0.786805555555556" bottom="0.786805555555556" header="0.590277777777778" footer="0.590277777777778"/>
  <pageSetup paperSize="9" scale="66" fitToWidth="1" fitToHeight="1" pageOrder="downThenOver" orientation="landscape" blackAndWhite="false" draft="false" cellComments="none" horizontalDpi="300" verticalDpi="300" copies="1"/>
  <headerFooter differentFirst="false" differentOddEven="false">
    <oddHeader>&amp;C&amp;14I</oddHeader>
    <oddFooter>&amp;LPMv3.16&amp;R&amp;P /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LibreOffice/26.2.4.2$Windows_X86_64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1997-01-10T22:22:50Z</dcterms:created>
  <dc:creator>CAIXA - GN Padronização e normas técnicas</dc:creator>
  <dc:description/>
  <dc:language>pt-BR</dc:language>
  <cp:lastModifiedBy>Usuario</cp:lastModifiedBy>
  <cp:lastPrinted>2026-06-23T18:40:44Z</cp:lastPrinted>
  <dcterms:modified xsi:type="dcterms:W3CDTF">2026-06-23T21:56:32Z</dcterms:modified>
  <cp:revision>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de7aacd-7cc4-4c31-9e6f-7ef306428f09_ActionId">
    <vt:lpwstr>a35afa61-0e86-4f3f-84ac-6edb60dde1d6</vt:lpwstr>
  </property>
  <property fmtid="{D5CDD505-2E9C-101B-9397-08002B2CF9AE}" pid="3" name="MSIP_Label_fde7aacd-7cc4-4c31-9e6f-7ef306428f09_ContentBits">
    <vt:lpwstr>1</vt:lpwstr>
  </property>
  <property fmtid="{D5CDD505-2E9C-101B-9397-08002B2CF9AE}" pid="4" name="MSIP_Label_fde7aacd-7cc4-4c31-9e6f-7ef306428f09_Enabled">
    <vt:lpwstr>true</vt:lpwstr>
  </property>
  <property fmtid="{D5CDD505-2E9C-101B-9397-08002B2CF9AE}" pid="5" name="MSIP_Label_fde7aacd-7cc4-4c31-9e6f-7ef306428f09_Method">
    <vt:lpwstr>Privileged</vt:lpwstr>
  </property>
  <property fmtid="{D5CDD505-2E9C-101B-9397-08002B2CF9AE}" pid="6" name="MSIP_Label_fde7aacd-7cc4-4c31-9e6f-7ef306428f09_Name">
    <vt:lpwstr>_PUBLICO</vt:lpwstr>
  </property>
  <property fmtid="{D5CDD505-2E9C-101B-9397-08002B2CF9AE}" pid="7" name="MSIP_Label_fde7aacd-7cc4-4c31-9e6f-7ef306428f09_SetDate">
    <vt:lpwstr>2023-11-21T19:16:23Z</vt:lpwstr>
  </property>
  <property fmtid="{D5CDD505-2E9C-101B-9397-08002B2CF9AE}" pid="8" name="MSIP_Label_fde7aacd-7cc4-4c31-9e6f-7ef306428f09_SiteId">
    <vt:lpwstr>ab9bba98-684a-43fb-add8-9c2bebede229</vt:lpwstr>
  </property>
</Properties>
</file>